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/>
  <bookViews>
    <workbookView xWindow="-105" yWindow="-105" windowWidth="23250" windowHeight="12570" tabRatio="724" firstSheet="1" activeTab="4"/>
  </bookViews>
  <sheets>
    <sheet name="VIGILANTE DIURNO - ADPTADO" sheetId="14" state="hidden" r:id="rId1"/>
    <sheet name="QUADRO RESUMO" sheetId="26" r:id="rId2"/>
    <sheet name="PARAMETROS" sheetId="13" r:id="rId3"/>
    <sheet name="ANAL. TÉCNICO" sheetId="21" r:id="rId4"/>
    <sheet name="ANAL. JUNIOR" sheetId="27" r:id="rId5"/>
    <sheet name="ANAL. SENIOR" sheetId="28" r:id="rId6"/>
    <sheet name="TÉC. INFORM." sheetId="29" r:id="rId7"/>
    <sheet name="GESTOR" sheetId="30" r:id="rId8"/>
    <sheet name="DESENVOLVEDOR" sheetId="31" r:id="rId9"/>
    <sheet name="Exemplo Jornada mista" sheetId="25" state="hidden" r:id="rId10"/>
  </sheets>
  <definedNames>
    <definedName name="_xlnm.Print_Area" localSheetId="4">'ANAL. JUNIOR'!$A$1:$G$170</definedName>
    <definedName name="_xlnm.Print_Area" localSheetId="5">'ANAL. SENIOR'!$A$1:$G$170</definedName>
    <definedName name="_xlnm.Print_Area" localSheetId="3">'ANAL. TÉCNICO'!$A$1:$G$170</definedName>
    <definedName name="_xlnm.Print_Area" localSheetId="8">DESENVOLVEDOR!$A$1:$G$170</definedName>
    <definedName name="_xlnm.Print_Area" localSheetId="7">GESTOR!$A$1:$G$170</definedName>
    <definedName name="_xlnm.Print_Area" localSheetId="2">PARAMETROS!$A$1:$C$55</definedName>
    <definedName name="_xlnm.Print_Area" localSheetId="6">'TÉC. INFORM.'!$A$1:$G$170</definedName>
    <definedName name="_xlnm.Print_Area" localSheetId="0">'VIGILANTE DIURNO - ADPTADO'!$A$1:$G$182</definedName>
    <definedName name="_xlnm.Print_Titles" localSheetId="4">'ANAL. JUNIOR'!$1:$4</definedName>
    <definedName name="_xlnm.Print_Titles" localSheetId="5">'ANAL. SENIOR'!$1:$4</definedName>
    <definedName name="_xlnm.Print_Titles" localSheetId="3">'ANAL. TÉCNICO'!$1:$4</definedName>
    <definedName name="_xlnm.Print_Titles" localSheetId="8">DESENVOLVEDOR!$1:$4</definedName>
    <definedName name="_xlnm.Print_Titles" localSheetId="7">GESTOR!$1:$4</definedName>
    <definedName name="_xlnm.Print_Titles" localSheetId="2">PARAMETROS!$1:$2</definedName>
    <definedName name="_xlnm.Print_Titles" localSheetId="6">'TÉC. INFORM.'!$1:$4</definedName>
    <definedName name="_xlnm.Print_Titles" localSheetId="0">'VIGILANTE DIURNO - ADPTADO'!$1:$4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21" l="1"/>
  <c r="H17" i="26" l="1"/>
  <c r="E17" i="26"/>
  <c r="A12" i="26"/>
  <c r="A13" i="26" s="1"/>
  <c r="A14" i="26" s="1"/>
  <c r="A15" i="26" s="1"/>
  <c r="A16" i="26" s="1"/>
  <c r="A154" i="31"/>
  <c r="F142" i="31"/>
  <c r="A151" i="31" s="1"/>
  <c r="G135" i="31"/>
  <c r="G134" i="31"/>
  <c r="F136" i="31" s="1"/>
  <c r="G133" i="31"/>
  <c r="G132" i="31"/>
  <c r="G136" i="31" s="1"/>
  <c r="G166" i="31" s="1"/>
  <c r="G117" i="31"/>
  <c r="G119" i="31" s="1"/>
  <c r="G126" i="31" s="1"/>
  <c r="E112" i="31"/>
  <c r="B112" i="31"/>
  <c r="E111" i="31"/>
  <c r="B111" i="31"/>
  <c r="E110" i="31"/>
  <c r="B110" i="31"/>
  <c r="E109" i="31"/>
  <c r="B109" i="31"/>
  <c r="B107" i="31"/>
  <c r="F102" i="31"/>
  <c r="F101" i="31"/>
  <c r="I98" i="31"/>
  <c r="B98" i="31" s="1"/>
  <c r="F97" i="31"/>
  <c r="F96" i="31"/>
  <c r="F94" i="31"/>
  <c r="E94" i="31" s="1"/>
  <c r="E97" i="31" s="1"/>
  <c r="N93" i="31"/>
  <c r="E93" i="31"/>
  <c r="B93" i="31"/>
  <c r="G91" i="31"/>
  <c r="E96" i="31" s="1"/>
  <c r="G77" i="31"/>
  <c r="G76" i="31"/>
  <c r="B76" i="31"/>
  <c r="B75" i="31"/>
  <c r="G74" i="31"/>
  <c r="B74" i="31"/>
  <c r="G73" i="31"/>
  <c r="B73" i="31"/>
  <c r="G72" i="31"/>
  <c r="B72" i="31"/>
  <c r="I71" i="31"/>
  <c r="B71" i="31"/>
  <c r="G70" i="31"/>
  <c r="B70" i="31"/>
  <c r="F65" i="31"/>
  <c r="F60" i="31"/>
  <c r="F59" i="31"/>
  <c r="F58" i="31"/>
  <c r="F57" i="31"/>
  <c r="F62" i="31" s="1"/>
  <c r="E54" i="31"/>
  <c r="F51" i="31"/>
  <c r="D50" i="31"/>
  <c r="D54" i="31" s="1"/>
  <c r="G43" i="31"/>
  <c r="F41" i="31"/>
  <c r="F40" i="31"/>
  <c r="E40" i="31"/>
  <c r="D40" i="31"/>
  <c r="E39" i="31"/>
  <c r="D39" i="31"/>
  <c r="G37" i="31"/>
  <c r="G36" i="31"/>
  <c r="G30" i="31"/>
  <c r="D29" i="31"/>
  <c r="B29" i="31"/>
  <c r="I70" i="31" s="1"/>
  <c r="G27" i="31"/>
  <c r="G38" i="31" s="1"/>
  <c r="A26" i="31"/>
  <c r="A27" i="31" s="1"/>
  <c r="A28" i="31" s="1"/>
  <c r="A30" i="31" s="1"/>
  <c r="A25" i="31"/>
  <c r="G22" i="31"/>
  <c r="A15" i="31"/>
  <c r="G25" i="31" s="1"/>
  <c r="F11" i="31"/>
  <c r="E35" i="31" s="1"/>
  <c r="F10" i="31"/>
  <c r="B114" i="31" s="1"/>
  <c r="A154" i="30"/>
  <c r="A153" i="30"/>
  <c r="F142" i="30"/>
  <c r="A151" i="30" s="1"/>
  <c r="F136" i="30"/>
  <c r="G135" i="30"/>
  <c r="G134" i="30"/>
  <c r="G133" i="30"/>
  <c r="G132" i="30"/>
  <c r="G117" i="30"/>
  <c r="G119" i="30" s="1"/>
  <c r="G126" i="30" s="1"/>
  <c r="E112" i="30"/>
  <c r="B112" i="30"/>
  <c r="E111" i="30"/>
  <c r="B111" i="30"/>
  <c r="E110" i="30"/>
  <c r="B110" i="30"/>
  <c r="E109" i="30"/>
  <c r="B109" i="30"/>
  <c r="B107" i="30"/>
  <c r="F102" i="30"/>
  <c r="F101" i="30"/>
  <c r="I98" i="30"/>
  <c r="B98" i="30" s="1"/>
  <c r="F97" i="30"/>
  <c r="F96" i="30"/>
  <c r="N93" i="30"/>
  <c r="E93" i="30"/>
  <c r="B93" i="30"/>
  <c r="G91" i="30"/>
  <c r="E101" i="30" s="1"/>
  <c r="G77" i="30"/>
  <c r="B77" i="30"/>
  <c r="G76" i="30"/>
  <c r="B76" i="30"/>
  <c r="B75" i="30"/>
  <c r="G74" i="30"/>
  <c r="B74" i="30"/>
  <c r="G73" i="30"/>
  <c r="B73" i="30"/>
  <c r="G72" i="30"/>
  <c r="B72" i="30"/>
  <c r="I71" i="30"/>
  <c r="G71" i="30"/>
  <c r="B71" i="30"/>
  <c r="G70" i="30"/>
  <c r="B70" i="30"/>
  <c r="F65" i="30"/>
  <c r="F94" i="30" s="1"/>
  <c r="E94" i="30" s="1"/>
  <c r="E97" i="30" s="1"/>
  <c r="F60" i="30"/>
  <c r="F59" i="30"/>
  <c r="F58" i="30"/>
  <c r="F57" i="30"/>
  <c r="F62" i="30" s="1"/>
  <c r="F51" i="30"/>
  <c r="D50" i="30"/>
  <c r="E54" i="30" s="1"/>
  <c r="G43" i="30"/>
  <c r="F41" i="30"/>
  <c r="F40" i="30"/>
  <c r="D40" i="30" s="1"/>
  <c r="E40" i="30"/>
  <c r="E39" i="30"/>
  <c r="D39" i="30"/>
  <c r="G37" i="30"/>
  <c r="G36" i="30"/>
  <c r="E35" i="30"/>
  <c r="G30" i="30"/>
  <c r="B29" i="30"/>
  <c r="I70" i="30" s="1"/>
  <c r="G27" i="30"/>
  <c r="G38" i="30" s="1"/>
  <c r="A25" i="30"/>
  <c r="A26" i="30" s="1"/>
  <c r="A27" i="30" s="1"/>
  <c r="A28" i="30" s="1"/>
  <c r="A30" i="30" s="1"/>
  <c r="G22" i="30"/>
  <c r="A15" i="30"/>
  <c r="G25" i="30" s="1"/>
  <c r="F11" i="30"/>
  <c r="D29" i="30" s="1"/>
  <c r="F10" i="30"/>
  <c r="E52" i="30" s="1"/>
  <c r="A154" i="29"/>
  <c r="A153" i="29"/>
  <c r="F142" i="29"/>
  <c r="A151" i="29" s="1"/>
  <c r="F136" i="29"/>
  <c r="G135" i="29"/>
  <c r="G136" i="29" s="1"/>
  <c r="G166" i="29" s="1"/>
  <c r="G134" i="29"/>
  <c r="G133" i="29"/>
  <c r="G132" i="29"/>
  <c r="G117" i="29"/>
  <c r="G119" i="29" s="1"/>
  <c r="G126" i="29" s="1"/>
  <c r="E112" i="29"/>
  <c r="B112" i="29"/>
  <c r="E111" i="29"/>
  <c r="B111" i="29"/>
  <c r="E110" i="29"/>
  <c r="B110" i="29"/>
  <c r="E109" i="29"/>
  <c r="B109" i="29"/>
  <c r="B107" i="29"/>
  <c r="F102" i="29"/>
  <c r="F101" i="29"/>
  <c r="I98" i="29"/>
  <c r="B98" i="29" s="1"/>
  <c r="F97" i="29"/>
  <c r="F96" i="29"/>
  <c r="F94" i="29"/>
  <c r="E94" i="29" s="1"/>
  <c r="E97" i="29" s="1"/>
  <c r="N93" i="29"/>
  <c r="E93" i="29"/>
  <c r="B93" i="29"/>
  <c r="G91" i="29"/>
  <c r="E101" i="29" s="1"/>
  <c r="G77" i="29"/>
  <c r="G76" i="29"/>
  <c r="B76" i="29"/>
  <c r="G75" i="29"/>
  <c r="B75" i="29"/>
  <c r="G74" i="29"/>
  <c r="B74" i="29"/>
  <c r="G73" i="29"/>
  <c r="B73" i="29"/>
  <c r="G72" i="29"/>
  <c r="B72" i="29"/>
  <c r="I71" i="29"/>
  <c r="B71" i="29"/>
  <c r="G70" i="29"/>
  <c r="B70" i="29"/>
  <c r="F65" i="29"/>
  <c r="F60" i="29"/>
  <c r="F58" i="29"/>
  <c r="F57" i="29"/>
  <c r="F62" i="29" s="1"/>
  <c r="F54" i="29"/>
  <c r="F51" i="29"/>
  <c r="D50" i="29"/>
  <c r="E54" i="29" s="1"/>
  <c r="G43" i="29"/>
  <c r="F41" i="29"/>
  <c r="F40" i="29"/>
  <c r="E40" i="29"/>
  <c r="D40" i="29"/>
  <c r="E39" i="29"/>
  <c r="D39" i="29"/>
  <c r="G37" i="29"/>
  <c r="G36" i="29"/>
  <c r="E35" i="29"/>
  <c r="G30" i="29"/>
  <c r="D29" i="29"/>
  <c r="B29" i="29"/>
  <c r="I70" i="29" s="1"/>
  <c r="G27" i="29"/>
  <c r="G38" i="29" s="1"/>
  <c r="A25" i="29"/>
  <c r="A26" i="29" s="1"/>
  <c r="A27" i="29" s="1"/>
  <c r="A28" i="29" s="1"/>
  <c r="A30" i="29" s="1"/>
  <c r="G22" i="29"/>
  <c r="A15" i="29"/>
  <c r="G23" i="29" s="1"/>
  <c r="F11" i="29"/>
  <c r="F10" i="29"/>
  <c r="E52" i="29" s="1"/>
  <c r="A154" i="28"/>
  <c r="F142" i="28"/>
  <c r="A153" i="28" s="1"/>
  <c r="F136" i="28"/>
  <c r="G135" i="28"/>
  <c r="G134" i="28"/>
  <c r="G133" i="28"/>
  <c r="G132" i="28"/>
  <c r="G117" i="28"/>
  <c r="G119" i="28" s="1"/>
  <c r="G126" i="28" s="1"/>
  <c r="E112" i="28"/>
  <c r="B112" i="28"/>
  <c r="E111" i="28"/>
  <c r="B111" i="28"/>
  <c r="E110" i="28"/>
  <c r="B110" i="28"/>
  <c r="E109" i="28"/>
  <c r="B109" i="28"/>
  <c r="B107" i="28"/>
  <c r="F102" i="28"/>
  <c r="F101" i="28"/>
  <c r="I98" i="28"/>
  <c r="B98" i="28" s="1"/>
  <c r="F97" i="28"/>
  <c r="F96" i="28"/>
  <c r="N93" i="28"/>
  <c r="E93" i="28"/>
  <c r="B93" i="28"/>
  <c r="G91" i="28"/>
  <c r="E101" i="28" s="1"/>
  <c r="G77" i="28"/>
  <c r="B77" i="28"/>
  <c r="G76" i="28"/>
  <c r="B76" i="28"/>
  <c r="B75" i="28"/>
  <c r="G74" i="28"/>
  <c r="B74" i="28"/>
  <c r="G73" i="28"/>
  <c r="B73" i="28"/>
  <c r="G72" i="28"/>
  <c r="B72" i="28"/>
  <c r="I71" i="28"/>
  <c r="G71" i="28"/>
  <c r="B71" i="28"/>
  <c r="G70" i="28"/>
  <c r="B70" i="28"/>
  <c r="F65" i="28"/>
  <c r="F94" i="28" s="1"/>
  <c r="E94" i="28" s="1"/>
  <c r="E97" i="28" s="1"/>
  <c r="F60" i="28"/>
  <c r="F58" i="28"/>
  <c r="F57" i="28"/>
  <c r="F61" i="28" s="1"/>
  <c r="C53" i="28"/>
  <c r="F51" i="28"/>
  <c r="D50" i="28"/>
  <c r="F54" i="28" s="1"/>
  <c r="G43" i="28"/>
  <c r="F41" i="28"/>
  <c r="F40" i="28"/>
  <c r="E40" i="28"/>
  <c r="D40" i="28"/>
  <c r="E39" i="28"/>
  <c r="D39" i="28"/>
  <c r="G38" i="28"/>
  <c r="G37" i="28"/>
  <c r="G36" i="28"/>
  <c r="G30" i="28"/>
  <c r="B29" i="28"/>
  <c r="I70" i="28" s="1"/>
  <c r="G27" i="28"/>
  <c r="A25" i="28"/>
  <c r="A26" i="28" s="1"/>
  <c r="A27" i="28" s="1"/>
  <c r="A28" i="28" s="1"/>
  <c r="A30" i="28" s="1"/>
  <c r="G22" i="28"/>
  <c r="A15" i="28"/>
  <c r="G25" i="28" s="1"/>
  <c r="F11" i="28"/>
  <c r="D29" i="28" s="1"/>
  <c r="F10" i="28"/>
  <c r="B114" i="28" s="1"/>
  <c r="A154" i="27"/>
  <c r="F142" i="27"/>
  <c r="A153" i="27" s="1"/>
  <c r="F136" i="27"/>
  <c r="G135" i="27"/>
  <c r="G134" i="27"/>
  <c r="G133" i="27"/>
  <c r="G132" i="27"/>
  <c r="G117" i="27"/>
  <c r="G119" i="27" s="1"/>
  <c r="G126" i="27" s="1"/>
  <c r="E112" i="27"/>
  <c r="B112" i="27"/>
  <c r="E111" i="27"/>
  <c r="B111" i="27"/>
  <c r="E110" i="27"/>
  <c r="B110" i="27"/>
  <c r="E109" i="27"/>
  <c r="B109" i="27"/>
  <c r="B107" i="27"/>
  <c r="F102" i="27"/>
  <c r="F101" i="27"/>
  <c r="I98" i="27"/>
  <c r="B98" i="27"/>
  <c r="F97" i="27"/>
  <c r="F96" i="27"/>
  <c r="N93" i="27"/>
  <c r="E93" i="27"/>
  <c r="B93" i="27"/>
  <c r="G91" i="27"/>
  <c r="E101" i="27" s="1"/>
  <c r="G77" i="27"/>
  <c r="B77" i="27"/>
  <c r="G76" i="27"/>
  <c r="B76" i="27"/>
  <c r="B75" i="27"/>
  <c r="G74" i="27"/>
  <c r="B74" i="27"/>
  <c r="G73" i="27"/>
  <c r="B73" i="27"/>
  <c r="G72" i="27"/>
  <c r="B72" i="27"/>
  <c r="I71" i="27"/>
  <c r="G71" i="27"/>
  <c r="B71" i="27"/>
  <c r="G70" i="27"/>
  <c r="B70" i="27"/>
  <c r="F65" i="27"/>
  <c r="F94" i="27" s="1"/>
  <c r="E94" i="27" s="1"/>
  <c r="E97" i="27" s="1"/>
  <c r="F60" i="27"/>
  <c r="F58" i="27"/>
  <c r="F57" i="27"/>
  <c r="F62" i="27" s="1"/>
  <c r="E54" i="27"/>
  <c r="E52" i="27"/>
  <c r="F53" i="27" s="1"/>
  <c r="F51" i="27"/>
  <c r="D50" i="27"/>
  <c r="D54" i="27" s="1"/>
  <c r="G43" i="27"/>
  <c r="F41" i="27"/>
  <c r="F40" i="27"/>
  <c r="E40" i="27"/>
  <c r="D40" i="27"/>
  <c r="E39" i="27"/>
  <c r="D39" i="27"/>
  <c r="G37" i="27"/>
  <c r="G36" i="27"/>
  <c r="G30" i="27"/>
  <c r="B29" i="27"/>
  <c r="I70" i="27" s="1"/>
  <c r="G27" i="27"/>
  <c r="G38" i="27" s="1"/>
  <c r="A25" i="27"/>
  <c r="A26" i="27" s="1"/>
  <c r="A27" i="27" s="1"/>
  <c r="A28" i="27" s="1"/>
  <c r="A30" i="27" s="1"/>
  <c r="G22" i="27"/>
  <c r="A15" i="27"/>
  <c r="G25" i="27" s="1"/>
  <c r="F11" i="27"/>
  <c r="E35" i="27" s="1"/>
  <c r="F10" i="27"/>
  <c r="B114" i="27" s="1"/>
  <c r="C24" i="13"/>
  <c r="G134" i="21"/>
  <c r="G133" i="21"/>
  <c r="G132" i="21"/>
  <c r="B54" i="13"/>
  <c r="B77" i="31" s="1"/>
  <c r="G75" i="31"/>
  <c r="B74" i="21"/>
  <c r="G71" i="31"/>
  <c r="B71" i="21"/>
  <c r="B72" i="21"/>
  <c r="B73" i="21"/>
  <c r="B75" i="21"/>
  <c r="B76" i="21"/>
  <c r="B77" i="21"/>
  <c r="B70" i="21"/>
  <c r="A15" i="21"/>
  <c r="G25" i="21" s="1"/>
  <c r="G27" i="21"/>
  <c r="G136" i="27" l="1"/>
  <c r="G166" i="27" s="1"/>
  <c r="G75" i="27"/>
  <c r="E102" i="27"/>
  <c r="D54" i="28"/>
  <c r="G75" i="28"/>
  <c r="G136" i="28"/>
  <c r="G166" i="28" s="1"/>
  <c r="A151" i="28"/>
  <c r="E102" i="29"/>
  <c r="G23" i="30"/>
  <c r="F54" i="30"/>
  <c r="G75" i="30"/>
  <c r="G23" i="31"/>
  <c r="F63" i="31"/>
  <c r="F64" i="28"/>
  <c r="E35" i="28"/>
  <c r="F63" i="29"/>
  <c r="G71" i="21"/>
  <c r="B91" i="27"/>
  <c r="G39" i="28"/>
  <c r="E52" i="28"/>
  <c r="E54" i="28"/>
  <c r="F62" i="28"/>
  <c r="B91" i="28"/>
  <c r="F59" i="29"/>
  <c r="G71" i="29"/>
  <c r="B77" i="29"/>
  <c r="F63" i="30"/>
  <c r="B91" i="30"/>
  <c r="G136" i="30"/>
  <c r="G166" i="30" s="1"/>
  <c r="E52" i="31"/>
  <c r="F53" i="31" s="1"/>
  <c r="E102" i="31"/>
  <c r="A153" i="31"/>
  <c r="F54" i="31"/>
  <c r="E101" i="31"/>
  <c r="G39" i="30"/>
  <c r="G41" i="30" s="1"/>
  <c r="G42" i="30" s="1"/>
  <c r="G54" i="30" s="1"/>
  <c r="G40" i="28"/>
  <c r="G40" i="30"/>
  <c r="G40" i="31"/>
  <c r="G39" i="31"/>
  <c r="G41" i="31" s="1"/>
  <c r="E108" i="31"/>
  <c r="F108" i="31"/>
  <c r="G108" i="31"/>
  <c r="B91" i="31"/>
  <c r="C53" i="31"/>
  <c r="F64" i="31"/>
  <c r="E98" i="31"/>
  <c r="D53" i="31"/>
  <c r="E58" i="31"/>
  <c r="F61" i="31"/>
  <c r="F66" i="31" s="1"/>
  <c r="F53" i="30"/>
  <c r="F52" i="30" s="1"/>
  <c r="F55" i="30" s="1"/>
  <c r="D53" i="30"/>
  <c r="C53" i="30"/>
  <c r="F64" i="30"/>
  <c r="E96" i="30"/>
  <c r="E98" i="30"/>
  <c r="E102" i="30"/>
  <c r="F61" i="30"/>
  <c r="F66" i="30" s="1"/>
  <c r="E58" i="30"/>
  <c r="D54" i="30"/>
  <c r="B114" i="30"/>
  <c r="G40" i="29"/>
  <c r="G25" i="29"/>
  <c r="D53" i="29"/>
  <c r="F53" i="29"/>
  <c r="F52" i="29" s="1"/>
  <c r="F55" i="29" s="1"/>
  <c r="B91" i="29"/>
  <c r="G39" i="29"/>
  <c r="C53" i="29"/>
  <c r="F64" i="29"/>
  <c r="E96" i="29"/>
  <c r="E98" i="29"/>
  <c r="F61" i="29"/>
  <c r="F66" i="29" s="1"/>
  <c r="E58" i="29"/>
  <c r="D54" i="29"/>
  <c r="B114" i="29"/>
  <c r="E108" i="28"/>
  <c r="F108" i="28"/>
  <c r="G108" i="28"/>
  <c r="E102" i="28"/>
  <c r="G23" i="28"/>
  <c r="F59" i="28"/>
  <c r="F66" i="28" s="1"/>
  <c r="F63" i="28"/>
  <c r="E96" i="28"/>
  <c r="E98" i="28"/>
  <c r="E58" i="28"/>
  <c r="G40" i="27"/>
  <c r="G39" i="27"/>
  <c r="G41" i="27" s="1"/>
  <c r="G108" i="27"/>
  <c r="F108" i="27"/>
  <c r="E108" i="27"/>
  <c r="G23" i="27"/>
  <c r="D29" i="27"/>
  <c r="F54" i="27"/>
  <c r="F52" i="27" s="1"/>
  <c r="F55" i="27" s="1"/>
  <c r="F59" i="27"/>
  <c r="F63" i="27"/>
  <c r="C53" i="27"/>
  <c r="F64" i="27"/>
  <c r="E96" i="27"/>
  <c r="E98" i="27"/>
  <c r="A151" i="27"/>
  <c r="D53" i="27"/>
  <c r="F61" i="27"/>
  <c r="E58" i="27"/>
  <c r="E111" i="21"/>
  <c r="E109" i="21"/>
  <c r="E110" i="21"/>
  <c r="E112" i="21"/>
  <c r="B109" i="21"/>
  <c r="B93" i="21"/>
  <c r="F66" i="27" l="1"/>
  <c r="G41" i="28"/>
  <c r="G42" i="28" s="1"/>
  <c r="G101" i="28" s="1"/>
  <c r="F52" i="31"/>
  <c r="F55" i="31" s="1"/>
  <c r="F53" i="28"/>
  <c r="F52" i="28" s="1"/>
  <c r="F55" i="28" s="1"/>
  <c r="D53" i="28"/>
  <c r="G96" i="28"/>
  <c r="G41" i="29"/>
  <c r="G42" i="29" s="1"/>
  <c r="G42" i="31"/>
  <c r="G45" i="31" s="1"/>
  <c r="G96" i="31"/>
  <c r="E99" i="31"/>
  <c r="G99" i="31" s="1"/>
  <c r="G101" i="30"/>
  <c r="G51" i="30"/>
  <c r="G94" i="30" s="1"/>
  <c r="G45" i="30"/>
  <c r="G93" i="30"/>
  <c r="G53" i="30"/>
  <c r="G96" i="30"/>
  <c r="G97" i="30"/>
  <c r="G60" i="30"/>
  <c r="E99" i="30"/>
  <c r="G99" i="30" s="1"/>
  <c r="E108" i="30"/>
  <c r="G108" i="30"/>
  <c r="F108" i="30"/>
  <c r="E99" i="29"/>
  <c r="E108" i="29"/>
  <c r="G108" i="29"/>
  <c r="F108" i="29"/>
  <c r="G93" i="28"/>
  <c r="G53" i="28"/>
  <c r="G45" i="28"/>
  <c r="G97" i="28"/>
  <c r="G51" i="28"/>
  <c r="G60" i="28" s="1"/>
  <c r="E99" i="28"/>
  <c r="G99" i="28" s="1"/>
  <c r="G42" i="27"/>
  <c r="G53" i="27" s="1"/>
  <c r="E99" i="27"/>
  <c r="G99" i="27" s="1"/>
  <c r="G97" i="27"/>
  <c r="N93" i="21"/>
  <c r="C74" i="13"/>
  <c r="G54" i="31" l="1"/>
  <c r="G93" i="31"/>
  <c r="G54" i="28"/>
  <c r="G53" i="31"/>
  <c r="G52" i="31" s="1"/>
  <c r="G58" i="30"/>
  <c r="G52" i="28"/>
  <c r="G55" i="28" s="1"/>
  <c r="G85" i="28" s="1"/>
  <c r="G62" i="30"/>
  <c r="G96" i="27"/>
  <c r="G54" i="27"/>
  <c r="G101" i="27"/>
  <c r="G45" i="27"/>
  <c r="G112" i="27" s="1"/>
  <c r="G61" i="28"/>
  <c r="G94" i="28"/>
  <c r="G59" i="28"/>
  <c r="G64" i="28"/>
  <c r="G96" i="29"/>
  <c r="G54" i="29"/>
  <c r="G59" i="30"/>
  <c r="G97" i="31"/>
  <c r="G51" i="31"/>
  <c r="G59" i="31" s="1"/>
  <c r="G101" i="31"/>
  <c r="G110" i="31"/>
  <c r="G102" i="31"/>
  <c r="G112" i="31"/>
  <c r="G162" i="31"/>
  <c r="G64" i="30"/>
  <c r="G63" i="30"/>
  <c r="G61" i="30"/>
  <c r="G65" i="30"/>
  <c r="G52" i="30"/>
  <c r="G55" i="30" s="1"/>
  <c r="G85" i="30" s="1"/>
  <c r="G110" i="30"/>
  <c r="G112" i="30"/>
  <c r="G102" i="30"/>
  <c r="G162" i="30"/>
  <c r="G97" i="29"/>
  <c r="G93" i="29"/>
  <c r="G101" i="29"/>
  <c r="G45" i="29"/>
  <c r="G112" i="29" s="1"/>
  <c r="G53" i="29"/>
  <c r="G51" i="29"/>
  <c r="G65" i="29" s="1"/>
  <c r="G99" i="29"/>
  <c r="G110" i="29"/>
  <c r="G110" i="28"/>
  <c r="G112" i="28"/>
  <c r="G102" i="28"/>
  <c r="G162" i="28"/>
  <c r="G63" i="28"/>
  <c r="G65" i="28"/>
  <c r="G58" i="28"/>
  <c r="G62" i="28"/>
  <c r="G93" i="27"/>
  <c r="G52" i="27"/>
  <c r="G51" i="27"/>
  <c r="G65" i="27" s="1"/>
  <c r="G102" i="27"/>
  <c r="E39" i="21"/>
  <c r="D39" i="21"/>
  <c r="F40" i="21"/>
  <c r="E40" i="21" s="1"/>
  <c r="G162" i="27" l="1"/>
  <c r="G55" i="27"/>
  <c r="G85" i="27" s="1"/>
  <c r="G94" i="27"/>
  <c r="G61" i="27"/>
  <c r="G64" i="29"/>
  <c r="G58" i="31"/>
  <c r="G110" i="27"/>
  <c r="G61" i="29"/>
  <c r="G162" i="29"/>
  <c r="G102" i="29"/>
  <c r="G52" i="29"/>
  <c r="G55" i="29" s="1"/>
  <c r="G85" i="29" s="1"/>
  <c r="G66" i="30"/>
  <c r="G86" i="30" s="1"/>
  <c r="G65" i="31"/>
  <c r="G62" i="31"/>
  <c r="G64" i="31"/>
  <c r="G55" i="31"/>
  <c r="G85" i="31" s="1"/>
  <c r="G94" i="31"/>
  <c r="G60" i="31"/>
  <c r="G63" i="31"/>
  <c r="G61" i="31"/>
  <c r="G58" i="29"/>
  <c r="G94" i="29"/>
  <c r="G63" i="29"/>
  <c r="G60" i="29"/>
  <c r="G59" i="29"/>
  <c r="G62" i="29"/>
  <c r="G66" i="28"/>
  <c r="G86" i="28" s="1"/>
  <c r="G60" i="27"/>
  <c r="G59" i="27"/>
  <c r="G62" i="27"/>
  <c r="G58" i="27"/>
  <c r="G64" i="27"/>
  <c r="G63" i="27"/>
  <c r="D40" i="21"/>
  <c r="G38" i="21"/>
  <c r="G66" i="31" l="1"/>
  <c r="G86" i="31" s="1"/>
  <c r="G66" i="29"/>
  <c r="G86" i="29" s="1"/>
  <c r="G66" i="27"/>
  <c r="G86" i="27" s="1"/>
  <c r="G36" i="21"/>
  <c r="G23" i="21"/>
  <c r="G37" i="21" l="1"/>
  <c r="G91" i="21"/>
  <c r="E93" i="21"/>
  <c r="F51" i="21"/>
  <c r="F11" i="21"/>
  <c r="F10" i="21"/>
  <c r="C76" i="13"/>
  <c r="C77" i="13" s="1"/>
  <c r="C55" i="13"/>
  <c r="B107" i="21"/>
  <c r="F96" i="21"/>
  <c r="G70" i="21"/>
  <c r="E101" i="21" l="1"/>
  <c r="F136" i="21"/>
  <c r="B114" i="21"/>
  <c r="E98" i="21"/>
  <c r="E58" i="21"/>
  <c r="D29" i="21"/>
  <c r="E35" i="21"/>
  <c r="B91" i="21"/>
  <c r="E52" i="21"/>
  <c r="B77" i="13"/>
  <c r="B78" i="13"/>
  <c r="C78" i="13"/>
  <c r="F60" i="21"/>
  <c r="C68" i="13"/>
  <c r="D50" i="21"/>
  <c r="F57" i="21"/>
  <c r="F64" i="21" s="1"/>
  <c r="F108" i="21" l="1"/>
  <c r="D53" i="21"/>
  <c r="E108" i="21"/>
  <c r="C53" i="21"/>
  <c r="E54" i="21"/>
  <c r="F54" i="21" s="1"/>
  <c r="F53" i="21"/>
  <c r="C69" i="13"/>
  <c r="B69" i="13"/>
  <c r="C79" i="13"/>
  <c r="B79" i="13"/>
  <c r="D54" i="21"/>
  <c r="F61" i="21"/>
  <c r="F62" i="21"/>
  <c r="F63" i="21"/>
  <c r="F59" i="21"/>
  <c r="C70" i="13" l="1"/>
  <c r="B70" i="13"/>
  <c r="C80" i="13"/>
  <c r="B81" i="13" s="1"/>
  <c r="B80" i="13"/>
  <c r="F52" i="21"/>
  <c r="G77" i="21"/>
  <c r="G76" i="21"/>
  <c r="G75" i="21"/>
  <c r="G74" i="21"/>
  <c r="G73" i="21"/>
  <c r="G72" i="21"/>
  <c r="G135" i="21"/>
  <c r="A154" i="21"/>
  <c r="F142" i="21"/>
  <c r="A151" i="21" s="1"/>
  <c r="G117" i="21"/>
  <c r="B112" i="21"/>
  <c r="B111" i="21"/>
  <c r="B110" i="21"/>
  <c r="F102" i="21"/>
  <c r="I98" i="21"/>
  <c r="B98" i="21" s="1"/>
  <c r="F101" i="21"/>
  <c r="F97" i="21"/>
  <c r="I71" i="21"/>
  <c r="F65" i="21"/>
  <c r="F94" i="21" s="1"/>
  <c r="F58" i="21"/>
  <c r="F41" i="21"/>
  <c r="G30" i="21"/>
  <c r="A25" i="21"/>
  <c r="A26" i="21" s="1"/>
  <c r="A27" i="21" s="1"/>
  <c r="A28" i="21" s="1"/>
  <c r="A30" i="21" s="1"/>
  <c r="G22" i="21"/>
  <c r="G40" i="21" l="1"/>
  <c r="G39" i="21"/>
  <c r="E94" i="21"/>
  <c r="E96" i="21" s="1"/>
  <c r="C81" i="13"/>
  <c r="A153" i="21"/>
  <c r="I70" i="21"/>
  <c r="G136" i="21"/>
  <c r="G166" i="21" s="1"/>
  <c r="F66" i="21"/>
  <c r="E102" i="21"/>
  <c r="F29" i="31" l="1"/>
  <c r="G69" i="31" s="1"/>
  <c r="F29" i="28"/>
  <c r="G69" i="28" s="1"/>
  <c r="F29" i="30"/>
  <c r="G69" i="30" s="1"/>
  <c r="F29" i="29"/>
  <c r="G69" i="29" s="1"/>
  <c r="F29" i="27"/>
  <c r="G69" i="27" s="1"/>
  <c r="F29" i="21"/>
  <c r="G69" i="21" s="1"/>
  <c r="F78" i="21" s="1"/>
  <c r="E97" i="21"/>
  <c r="G119" i="21"/>
  <c r="G126" i="21" s="1"/>
  <c r="E99" i="21"/>
  <c r="G43" i="21"/>
  <c r="F55" i="21"/>
  <c r="G78" i="29" l="1"/>
  <c r="F78" i="29"/>
  <c r="G78" i="30"/>
  <c r="F78" i="30"/>
  <c r="G78" i="28"/>
  <c r="F78" i="28"/>
  <c r="G78" i="27"/>
  <c r="F78" i="27"/>
  <c r="F78" i="31"/>
  <c r="G78" i="31"/>
  <c r="G78" i="21"/>
  <c r="G87" i="31" l="1"/>
  <c r="G88" i="31" s="1"/>
  <c r="G98" i="31"/>
  <c r="G87" i="27"/>
  <c r="G88" i="27" s="1"/>
  <c r="G98" i="27"/>
  <c r="G87" i="30"/>
  <c r="G88" i="30" s="1"/>
  <c r="G98" i="30"/>
  <c r="G87" i="28"/>
  <c r="G88" i="28" s="1"/>
  <c r="G98" i="28"/>
  <c r="G87" i="29"/>
  <c r="G88" i="29" s="1"/>
  <c r="G98" i="29"/>
  <c r="G87" i="21"/>
  <c r="I96" i="27" l="1"/>
  <c r="G104" i="27"/>
  <c r="G164" i="27" s="1"/>
  <c r="I96" i="28"/>
  <c r="G104" i="28"/>
  <c r="G164" i="28" s="1"/>
  <c r="G163" i="28"/>
  <c r="G111" i="27"/>
  <c r="G163" i="27"/>
  <c r="I96" i="30"/>
  <c r="G104" i="30"/>
  <c r="G164" i="30" s="1"/>
  <c r="I96" i="31"/>
  <c r="G104" i="31"/>
  <c r="G164" i="31" s="1"/>
  <c r="I96" i="29"/>
  <c r="G104" i="29"/>
  <c r="G164" i="29" s="1"/>
  <c r="G163" i="29"/>
  <c r="G163" i="30"/>
  <c r="G163" i="31"/>
  <c r="A167" i="14"/>
  <c r="F155" i="14"/>
  <c r="A164" i="14" s="1"/>
  <c r="G146" i="14"/>
  <c r="B118" i="14"/>
  <c r="B117" i="14"/>
  <c r="B116" i="14"/>
  <c r="B115" i="14"/>
  <c r="I104" i="14"/>
  <c r="F104" i="14"/>
  <c r="F107" i="14" s="1"/>
  <c r="F103" i="14"/>
  <c r="F102" i="14"/>
  <c r="B99" i="14"/>
  <c r="G85" i="14"/>
  <c r="G84" i="14"/>
  <c r="G83" i="14"/>
  <c r="G82" i="14"/>
  <c r="G81" i="14"/>
  <c r="G80" i="14"/>
  <c r="I79" i="14"/>
  <c r="G79" i="14"/>
  <c r="I78" i="14"/>
  <c r="G78" i="14"/>
  <c r="G77" i="14"/>
  <c r="F64" i="14"/>
  <c r="F100" i="14" s="1"/>
  <c r="F63" i="14"/>
  <c r="F62" i="14"/>
  <c r="F61" i="14"/>
  <c r="F60" i="14"/>
  <c r="F59" i="14"/>
  <c r="F58" i="14"/>
  <c r="F57" i="14"/>
  <c r="F47" i="14"/>
  <c r="G44" i="14"/>
  <c r="G45" i="14" s="1"/>
  <c r="G37" i="14"/>
  <c r="G34" i="14"/>
  <c r="G46" i="14" s="1"/>
  <c r="A30" i="14"/>
  <c r="A31" i="14" s="1"/>
  <c r="A32" i="14" s="1"/>
  <c r="A33" i="14" s="1"/>
  <c r="A34" i="14" s="1"/>
  <c r="A35" i="14" s="1"/>
  <c r="A37" i="14" s="1"/>
  <c r="G28" i="14"/>
  <c r="G29" i="14" s="1"/>
  <c r="G109" i="30" l="1"/>
  <c r="G109" i="29"/>
  <c r="G111" i="30"/>
  <c r="G109" i="27"/>
  <c r="G114" i="27" s="1"/>
  <c r="G125" i="27" s="1"/>
  <c r="G128" i="27" s="1"/>
  <c r="G111" i="31"/>
  <c r="G109" i="31"/>
  <c r="G111" i="29"/>
  <c r="G111" i="28"/>
  <c r="G109" i="28"/>
  <c r="G86" i="14"/>
  <c r="G94" i="14" s="1"/>
  <c r="G47" i="14"/>
  <c r="G51" i="14" s="1"/>
  <c r="G32" i="14"/>
  <c r="J79" i="14"/>
  <c r="B104" i="14"/>
  <c r="F65" i="14"/>
  <c r="F108" i="14"/>
  <c r="A166" i="14"/>
  <c r="G114" i="30" l="1"/>
  <c r="G125" i="30" s="1"/>
  <c r="G128" i="30" s="1"/>
  <c r="G165" i="30" s="1"/>
  <c r="G167" i="30" s="1"/>
  <c r="G114" i="31"/>
  <c r="G125" i="31" s="1"/>
  <c r="G128" i="31" s="1"/>
  <c r="G165" i="31" s="1"/>
  <c r="G167" i="31" s="1"/>
  <c r="G165" i="27"/>
  <c r="G167" i="27" s="1"/>
  <c r="G140" i="27"/>
  <c r="G141" i="27" s="1"/>
  <c r="G114" i="28"/>
  <c r="G125" i="28" s="1"/>
  <c r="G128" i="28" s="1"/>
  <c r="G140" i="28" s="1"/>
  <c r="G141" i="28" s="1"/>
  <c r="G152" i="28" s="1"/>
  <c r="G153" i="28" s="1"/>
  <c r="G114" i="29"/>
  <c r="G125" i="29" s="1"/>
  <c r="G128" i="29" s="1"/>
  <c r="G140" i="29" s="1"/>
  <c r="G140" i="30"/>
  <c r="G141" i="30" s="1"/>
  <c r="G152" i="30" s="1"/>
  <c r="G153" i="30" s="1"/>
  <c r="G126" i="14"/>
  <c r="G128" i="14" s="1"/>
  <c r="G118" i="14"/>
  <c r="G116" i="14"/>
  <c r="G114" i="14"/>
  <c r="G107" i="14"/>
  <c r="G104" i="14"/>
  <c r="F50" i="14"/>
  <c r="G115" i="14"/>
  <c r="G70" i="14"/>
  <c r="F70" i="14" s="1"/>
  <c r="G63" i="14"/>
  <c r="G61" i="14"/>
  <c r="G59" i="14"/>
  <c r="G57" i="14"/>
  <c r="F49" i="14"/>
  <c r="G174" i="14"/>
  <c r="G103" i="14"/>
  <c r="G69" i="14"/>
  <c r="G64" i="14"/>
  <c r="G62" i="14"/>
  <c r="G60" i="14"/>
  <c r="G58" i="14"/>
  <c r="G117" i="14"/>
  <c r="G108" i="14"/>
  <c r="G102" i="14"/>
  <c r="G99" i="14"/>
  <c r="F48" i="14"/>
  <c r="G165" i="29" l="1"/>
  <c r="G167" i="29" s="1"/>
  <c r="G140" i="31"/>
  <c r="G141" i="31" s="1"/>
  <c r="G165" i="28"/>
  <c r="G167" i="28" s="1"/>
  <c r="G152" i="27"/>
  <c r="G153" i="27" s="1"/>
  <c r="G144" i="27" s="1"/>
  <c r="G145" i="30"/>
  <c r="G144" i="30"/>
  <c r="G148" i="30"/>
  <c r="G154" i="30"/>
  <c r="G148" i="28"/>
  <c r="G154" i="28"/>
  <c r="G145" i="28"/>
  <c r="G144" i="28"/>
  <c r="G141" i="29"/>
  <c r="G152" i="29" s="1"/>
  <c r="G153" i="29" s="1"/>
  <c r="G100" i="14"/>
  <c r="G71" i="14"/>
  <c r="F69" i="14"/>
  <c r="F73" i="14" s="1"/>
  <c r="I102" i="14"/>
  <c r="G105" i="14"/>
  <c r="G65" i="14"/>
  <c r="G93" i="14" s="1"/>
  <c r="G129" i="14"/>
  <c r="G130" i="14" s="1"/>
  <c r="G137" i="14" s="1"/>
  <c r="G120" i="14"/>
  <c r="C41" i="13"/>
  <c r="G152" i="31" l="1"/>
  <c r="G153" i="31" s="1"/>
  <c r="G145" i="31" s="1"/>
  <c r="G145" i="27"/>
  <c r="G150" i="27" s="1"/>
  <c r="G168" i="27" s="1"/>
  <c r="G169" i="27" s="1"/>
  <c r="D12" i="26" s="1"/>
  <c r="G148" i="27"/>
  <c r="G154" i="27"/>
  <c r="G150" i="30"/>
  <c r="G168" i="30" s="1"/>
  <c r="G169" i="30" s="1"/>
  <c r="D15" i="26" s="1"/>
  <c r="G150" i="28"/>
  <c r="G168" i="28" s="1"/>
  <c r="G169" i="28" s="1"/>
  <c r="D13" i="26" s="1"/>
  <c r="I13" i="26" s="1"/>
  <c r="J13" i="26" s="1"/>
  <c r="G148" i="29"/>
  <c r="G154" i="29"/>
  <c r="G145" i="29"/>
  <c r="G144" i="29"/>
  <c r="G143" i="14"/>
  <c r="G144" i="14"/>
  <c r="G145" i="14"/>
  <c r="G109" i="14"/>
  <c r="G176" i="14" s="1"/>
  <c r="G121" i="14"/>
  <c r="G122" i="14" s="1"/>
  <c r="G136" i="14" s="1"/>
  <c r="G139" i="14" s="1"/>
  <c r="G177" i="14" s="1"/>
  <c r="G72" i="14"/>
  <c r="G73" i="14" s="1"/>
  <c r="G92" i="14" s="1"/>
  <c r="G95" i="14" s="1"/>
  <c r="C63" i="13"/>
  <c r="G144" i="31" l="1"/>
  <c r="G150" i="31" s="1"/>
  <c r="G168" i="31" s="1"/>
  <c r="G169" i="31" s="1"/>
  <c r="D16" i="26" s="1"/>
  <c r="F16" i="26" s="1"/>
  <c r="G16" i="26" s="1"/>
  <c r="G148" i="31"/>
  <c r="G154" i="31"/>
  <c r="F13" i="26"/>
  <c r="G13" i="26" s="1"/>
  <c r="I15" i="26"/>
  <c r="J15" i="26" s="1"/>
  <c r="F15" i="26"/>
  <c r="G15" i="26" s="1"/>
  <c r="G150" i="29"/>
  <c r="G168" i="29" s="1"/>
  <c r="G169" i="29" s="1"/>
  <c r="D14" i="26" s="1"/>
  <c r="I14" i="26" s="1"/>
  <c r="J14" i="26" s="1"/>
  <c r="F12" i="26"/>
  <c r="G12" i="26" s="1"/>
  <c r="I12" i="26"/>
  <c r="J12" i="26" s="1"/>
  <c r="G147" i="14"/>
  <c r="G178" i="14" s="1"/>
  <c r="G175" i="14"/>
  <c r="C21" i="13"/>
  <c r="I16" i="26" l="1"/>
  <c r="J16" i="26" s="1"/>
  <c r="F14" i="26"/>
  <c r="G14" i="26" s="1"/>
  <c r="G153" i="14"/>
  <c r="G154" i="14" s="1"/>
  <c r="G179" i="14"/>
  <c r="G165" i="14" l="1"/>
  <c r="G166" i="14" s="1"/>
  <c r="G158" i="14" s="1"/>
  <c r="G167" i="14" l="1"/>
  <c r="G161" i="14"/>
  <c r="G157" i="14"/>
  <c r="G163" i="14" l="1"/>
  <c r="G180" i="14" s="1"/>
  <c r="G181" i="14" s="1"/>
  <c r="G41" i="21"/>
  <c r="G42" i="21" s="1"/>
  <c r="G96" i="21" l="1"/>
  <c r="G54" i="21"/>
  <c r="G93" i="21"/>
  <c r="G101" i="21"/>
  <c r="G98" i="21"/>
  <c r="G99" i="21"/>
  <c r="G97" i="21"/>
  <c r="G45" i="21"/>
  <c r="G51" i="21"/>
  <c r="G65" i="21" s="1"/>
  <c r="G53" i="21"/>
  <c r="G59" i="21" l="1"/>
  <c r="G60" i="21"/>
  <c r="G58" i="21"/>
  <c r="G64" i="21"/>
  <c r="G61" i="21"/>
  <c r="G63" i="21"/>
  <c r="G62" i="21"/>
  <c r="G94" i="21"/>
  <c r="G112" i="21"/>
  <c r="G110" i="21"/>
  <c r="I96" i="21"/>
  <c r="G102" i="21"/>
  <c r="G162" i="21"/>
  <c r="G52" i="21"/>
  <c r="G55" i="21" s="1"/>
  <c r="G85" i="21" s="1"/>
  <c r="G104" i="21" l="1"/>
  <c r="G66" i="21"/>
  <c r="G86" i="21" s="1"/>
  <c r="G88" i="21" s="1"/>
  <c r="G108" i="21" l="1"/>
  <c r="G111" i="21"/>
  <c r="G109" i="21"/>
  <c r="G164" i="21"/>
  <c r="G163" i="21"/>
  <c r="G114" i="21" l="1"/>
  <c r="G125" i="21" s="1"/>
  <c r="G128" i="21" s="1"/>
  <c r="G165" i="21" s="1"/>
  <c r="G167" i="21" s="1"/>
  <c r="G140" i="21" l="1"/>
  <c r="G141" i="21" s="1"/>
  <c r="G152" i="21" l="1"/>
  <c r="G153" i="21" s="1"/>
  <c r="G148" i="21" s="1"/>
  <c r="G154" i="21" l="1"/>
  <c r="G144" i="21"/>
  <c r="G145" i="21"/>
  <c r="G150" i="21" l="1"/>
  <c r="G168" i="21" s="1"/>
  <c r="G169" i="21" s="1"/>
  <c r="D11" i="26" s="1"/>
  <c r="I11" i="26" l="1"/>
  <c r="F11" i="26"/>
  <c r="G11" i="26" l="1"/>
  <c r="G17" i="26" s="1"/>
  <c r="F17" i="26"/>
  <c r="J11" i="26"/>
  <c r="J17" i="26" s="1"/>
  <c r="I17" i="26"/>
</calcChain>
</file>

<file path=xl/sharedStrings.xml><?xml version="1.0" encoding="utf-8"?>
<sst xmlns="http://schemas.openxmlformats.org/spreadsheetml/2006/main" count="1942" uniqueCount="296">
  <si>
    <t>-</t>
  </si>
  <si>
    <t>PLANILHA DE FORMAÇÃO DE PREÇOS</t>
  </si>
  <si>
    <t>PARÂMETROS PARA A PLANILHA</t>
  </si>
  <si>
    <t>Dados complementares para as contratações</t>
  </si>
  <si>
    <t>Data de assinatura do contrato</t>
  </si>
  <si>
    <t>Valor do salário mínimo à época</t>
  </si>
  <si>
    <t>Valor - vale transporte R$:</t>
  </si>
  <si>
    <t>Contrato prorrogado?  "Sim" ou "Não")</t>
  </si>
  <si>
    <t>Não</t>
  </si>
  <si>
    <t>MÓDULO 01 - COMPOSIÇÃO DA REMUNERAÇÃO</t>
  </si>
  <si>
    <t>I</t>
  </si>
  <si>
    <t>Submódulo - Encargos Previdenciários (GPS), Fundo de Garantia por Tempo de Serviço (FGTS) e outras contribuições</t>
  </si>
  <si>
    <t>%</t>
  </si>
  <si>
    <t>A</t>
  </si>
  <si>
    <t>INSS</t>
  </si>
  <si>
    <t>B</t>
  </si>
  <si>
    <t>Salário Educação</t>
  </si>
  <si>
    <t>C</t>
  </si>
  <si>
    <t xml:space="preserve">Contribuição Adicional – RAT Ajustado (RAT x FAP)  </t>
  </si>
  <si>
    <t>D</t>
  </si>
  <si>
    <t>SESC ou SESI</t>
  </si>
  <si>
    <t>E</t>
  </si>
  <si>
    <t>SENAI - SENAC</t>
  </si>
  <si>
    <t>F</t>
  </si>
  <si>
    <t>SEBRAE</t>
  </si>
  <si>
    <t>G</t>
  </si>
  <si>
    <t>INCRA</t>
  </si>
  <si>
    <t>H</t>
  </si>
  <si>
    <t>FGTS</t>
  </si>
  <si>
    <t xml:space="preserve">Total </t>
  </si>
  <si>
    <t>Nota 1: O Módulo 1 refere-se ao valor mensal devido ao empregado pela prestação do serviço no período de 12 meses.</t>
  </si>
  <si>
    <t>Nota 2: Para o empregado que labora a jornada 12x36, em caso da não concessão ou concessão parcial do intervalo intrajornada (§ 4º do art. 71 da CLT), o valor a ser pago será inserido na remuneração utilizando a alínea “G”.</t>
  </si>
  <si>
    <t>2.3</t>
  </si>
  <si>
    <t>Submódulo - Benefícios Mensais e Diários (Verificar os instrumentos coletivos)</t>
  </si>
  <si>
    <t>Transporte (Calculado em cada planilha)</t>
  </si>
  <si>
    <t>Auxílio alimentação (Vales, cesta básica etc.)</t>
  </si>
  <si>
    <t>Assistência médica e familiar</t>
  </si>
  <si>
    <t>Auxílio creche</t>
  </si>
  <si>
    <t>Seguro de vida, invalidez e funeral</t>
  </si>
  <si>
    <t>Auxílio funeral</t>
  </si>
  <si>
    <t xml:space="preserve">PCMSO, PPRA e CIPA </t>
  </si>
  <si>
    <t xml:space="preserve">Estojo primeiros socorros </t>
  </si>
  <si>
    <t>Outros benefícios (especificar)</t>
  </si>
  <si>
    <t>Nota 1: o valor informado deverá ser o custo real do insumo (descontado o valor eventualmente pago pelo empregado).</t>
  </si>
  <si>
    <t>Nota 2: Observar a previsão dos benefícios contidos em Acordos, Convenções e Dissídios Coletivos de Trabalho e atentar-se ao disposto no art. 6º desta Instrução Normativa.</t>
  </si>
  <si>
    <t>MÓDULO 05 - INSUMOS DIVERSOS</t>
  </si>
  <si>
    <t>Insumos diversos</t>
  </si>
  <si>
    <t>Valor R$</t>
  </si>
  <si>
    <t>Uniformes</t>
  </si>
  <si>
    <t>Materiais</t>
  </si>
  <si>
    <t>Equipamentos (Depreciação)</t>
  </si>
  <si>
    <t>Outros (especificar)</t>
  </si>
  <si>
    <t>Vigilante Diurno</t>
  </si>
  <si>
    <t>MODELO DE PLANILHA DE CUSTOS E FORMAÇÃO DE PREÇOS</t>
  </si>
  <si>
    <t xml:space="preserve">Nº do Processo: </t>
  </si>
  <si>
    <t>Licitação nº:</t>
  </si>
  <si>
    <t>Dia:</t>
  </si>
  <si>
    <t xml:space="preserve">Hora: </t>
  </si>
  <si>
    <t>DISCRIMINAÇÃO DOS SERVIÇOS (DADOS REFERENTES À CONTRATAÇÃO)</t>
  </si>
  <si>
    <t>Data de apresentação da proposta (dia/mês/ano):</t>
  </si>
  <si>
    <t>Município/UF:</t>
  </si>
  <si>
    <t>Rio Branco</t>
  </si>
  <si>
    <t>Ano do Acordo, Convenção ou Dissídio Coletivo:</t>
  </si>
  <si>
    <t>Número de meses de execução contratual:</t>
  </si>
  <si>
    <t>IDENTIFICAÇÃO DO SERVIÇO</t>
  </si>
  <si>
    <t>Tipo de Serviço</t>
  </si>
  <si>
    <t>Unidade de Medida</t>
  </si>
  <si>
    <t>Quantidade total a contratar (Em função da unidade de medida)</t>
  </si>
  <si>
    <r>
      <rPr>
        <b/>
        <sz val="6"/>
        <color rgb="FFFF0000"/>
        <rFont val="Verdana"/>
        <family val="2"/>
      </rPr>
      <t>Nota 1</t>
    </r>
    <r>
      <rPr>
        <sz val="6"/>
        <color rgb="FFFF0000"/>
        <rFont val="Verdana"/>
        <family val="2"/>
      </rPr>
      <t>: Esta tabela poderá ser adaptada às características do serviço contratado, inclusive no que concerne às rubricas e suas respectivas provisões e/ou estimativas, desde que haja justificativa.</t>
    </r>
  </si>
  <si>
    <r>
      <rPr>
        <b/>
        <sz val="6"/>
        <color rgb="FFFF0000"/>
        <rFont val="Verdana"/>
        <family val="2"/>
      </rPr>
      <t>Nota 2</t>
    </r>
    <r>
      <rPr>
        <sz val="6"/>
        <color rgb="FFFF0000"/>
        <rFont val="Verdana"/>
        <family val="2"/>
      </rPr>
      <t>: As provisões constantes desta planilha poderão ser desnecessárias quando se tratar de determinados serviços que prescindam da dedicação exclusiva dos trabalhadores da contratada para com a Administração.</t>
    </r>
  </si>
  <si>
    <t>Dados complementares para composição dos custos referentes á mão de obra</t>
  </si>
  <si>
    <t>Tipo de serviço (mesmo serviço com características distintas)</t>
  </si>
  <si>
    <t>Classificação Brasileira de Ocupações (CBO)</t>
  </si>
  <si>
    <t>Salário Normativo da Categoria Profissional - BASE (proporcional 30h/semanais)</t>
  </si>
  <si>
    <t>Categoria profissional (vinculada à execução contratual) --&gt;</t>
  </si>
  <si>
    <t>Data base da categoria (dia/mês/ano) --&gt;</t>
  </si>
  <si>
    <t>Valor do salário mínimo à época --&gt;</t>
  </si>
  <si>
    <t>Valor do vale transporte R$</t>
  </si>
  <si>
    <t>% Desconto do salário base</t>
  </si>
  <si>
    <t>Dias trabalhados</t>
  </si>
  <si>
    <t>Vales transporte/ dia:</t>
  </si>
  <si>
    <t>Fórmula vale transporte</t>
  </si>
  <si>
    <t xml:space="preserve"> 4 = 6%</t>
  </si>
  <si>
    <t>ARRED((G17*6/4)/100;2)</t>
  </si>
  <si>
    <t>Jornada de trabalho semanal (horas): --&gt;</t>
  </si>
  <si>
    <t>Jornada Mensal em horas: --&gt;</t>
  </si>
  <si>
    <t>Nota 1: Deverá ser elaborado um quadro para cada tipo de serviço.</t>
  </si>
  <si>
    <t>Nota 2: A planilha será calculada considerando o valor mensal do empregado.</t>
  </si>
  <si>
    <t>Nota 3: Fórmula:  Jornada semanal/6 X 30.  Outra fórmula:  jornada semanal x 5.</t>
  </si>
  <si>
    <t>3 - X</t>
  </si>
  <si>
    <t>Composição da Remuneração</t>
  </si>
  <si>
    <t>Salário Base</t>
  </si>
  <si>
    <t>Adicional de periculosidade</t>
  </si>
  <si>
    <r>
      <t>Adicional de insalubridade</t>
    </r>
    <r>
      <rPr>
        <sz val="6"/>
        <color rgb="FFFF0000"/>
        <rFont val="Verdana"/>
        <family val="2"/>
      </rPr>
      <t xml:space="preserve"> (10%, 20% ou 40%)</t>
    </r>
  </si>
  <si>
    <r>
      <t>Adicional noturno</t>
    </r>
    <r>
      <rPr>
        <b/>
        <sz val="6"/>
        <color rgb="FF006600"/>
        <rFont val="Verdana"/>
        <family val="2"/>
      </rPr>
      <t xml:space="preserve"> - quant. de horas:</t>
    </r>
  </si>
  <si>
    <t>Adicional de Hora Noturna Reduzida</t>
  </si>
  <si>
    <r>
      <t xml:space="preserve">Adicional de Hora Extra </t>
    </r>
    <r>
      <rPr>
        <sz val="8"/>
        <color rgb="FFFF0000"/>
        <rFont val="Verdana"/>
        <family val="2"/>
      </rPr>
      <t>(deve ser justificado o uso)</t>
    </r>
  </si>
  <si>
    <t>MÓDULO 02 - ENCARGOS E BENEFÍCIOS ANUAIS, MENSAIS E DIÁRIOS</t>
  </si>
  <si>
    <t>2.1</t>
  </si>
  <si>
    <t>Submódulo - 13º Salário e Adicional de Férias</t>
  </si>
  <si>
    <r>
      <t xml:space="preserve">13º Salário </t>
    </r>
    <r>
      <rPr>
        <sz val="6"/>
        <color rgb="FFFF0000"/>
        <rFont val="Verdana"/>
        <family val="2"/>
      </rPr>
      <t>(Cálculo: remuneração/12)</t>
    </r>
  </si>
  <si>
    <t>Total</t>
  </si>
  <si>
    <t>2.2</t>
  </si>
  <si>
    <r>
      <t xml:space="preserve">Submódulo - Encargos Previdenciários (GPS), Fundo de Garantia por Tempo de Serviço (FGTS) e outras contribuições </t>
    </r>
    <r>
      <rPr>
        <sz val="6"/>
        <color rgb="FFFF0000"/>
        <rFont val="Verdana"/>
        <family val="2"/>
      </rPr>
      <t>(PREENCHIMENTO AUTOMÁTICO.  Verificar planilha de parâmetros)</t>
    </r>
  </si>
  <si>
    <r>
      <t xml:space="preserve">Submódulo - Benefícios Mensais e Diários </t>
    </r>
    <r>
      <rPr>
        <b/>
        <sz val="5"/>
        <color rgb="FFFF0000"/>
        <rFont val="Verdana"/>
        <family val="2"/>
      </rPr>
      <t>(PREENCHIMENTO AUTOMÁTICO.  Verificar planilha de parâmetros)</t>
    </r>
  </si>
  <si>
    <r>
      <t xml:space="preserve">Transporte (Descontado 6% do empregado) </t>
    </r>
    <r>
      <rPr>
        <sz val="6"/>
        <color indexed="10"/>
        <rFont val="Verdana"/>
        <family val="2"/>
      </rPr>
      <t>(Cálculo: [valor do vale x Quant. vales por dia x dias trabalhados] - 6% do salário básico).  Desconto não poderá ser superior ao efetivo custo do transporte.</t>
    </r>
  </si>
  <si>
    <t>ARRED((($B$17*$G$17)*22)-(G$12*$D$17);2)</t>
  </si>
  <si>
    <t>Valor do vale transporte</t>
  </si>
  <si>
    <t>Valor do desconto</t>
  </si>
  <si>
    <t>Quadro-Resumo do Módulo 2 - Encargos e Benefícios anuais, mensais e diários</t>
  </si>
  <si>
    <t>Encargos e Benefícios Anuais, Mensais e Diários</t>
  </si>
  <si>
    <t>13º (décimo terceiro) Salário, Férias e Adicional de Férias</t>
  </si>
  <si>
    <t>GPS, FGTS e outras contribuições</t>
  </si>
  <si>
    <t>Benefícios Mensais e Diários</t>
  </si>
  <si>
    <t xml:space="preserve"> </t>
  </si>
  <si>
    <t>MÓDULO 03 - PROVISÃO PARA RESCISÃO</t>
  </si>
  <si>
    <r>
      <t>Submódulo - Provisão para Rescisão</t>
    </r>
    <r>
      <rPr>
        <sz val="6"/>
        <color rgb="FFFF0000"/>
        <rFont val="Verdana"/>
        <family val="2"/>
      </rPr>
      <t xml:space="preserve"> (na planilha de parâmetros informar se o contrato já foi prorrogado ou não)</t>
    </r>
  </si>
  <si>
    <t>Em forma de índice (IN 05)</t>
  </si>
  <si>
    <t>Probabilidade de ocorrência</t>
  </si>
  <si>
    <t xml:space="preserve">Incidência do FGTS sobre aviso prévio indenizado. </t>
  </si>
  <si>
    <t>Multa do FGTS e contribuição social - em caso de aviso prévio indenizado</t>
  </si>
  <si>
    <t>C.1</t>
  </si>
  <si>
    <t xml:space="preserve">          Multa do FGTS (40%)</t>
  </si>
  <si>
    <t>C.2</t>
  </si>
  <si>
    <t xml:space="preserve">          Contribuição social (10%) - Lei 
          Complementar 110/2001</t>
  </si>
  <si>
    <t>Incidência do submódulo 2.1 (GPS, FGTS e outras contribuições) sobre aviso prévio trabalhado</t>
  </si>
  <si>
    <t>Multa do FGTS e contribuição social - em caso de aviso prévio trabalhado</t>
  </si>
  <si>
    <t>F.1</t>
  </si>
  <si>
    <t>F.2</t>
  </si>
  <si>
    <t>MÓDULO 04 - CUSTO DE REPOSIÇÃO DO PROFISSIONAL AUSENTE</t>
  </si>
  <si>
    <t>4.1</t>
  </si>
  <si>
    <t>Submódulo - Substituto nas Ausências Legais</t>
  </si>
  <si>
    <t>Probabilidade</t>
  </si>
  <si>
    <t>Substituto na cobertura de outras ausências (especificar)</t>
  </si>
  <si>
    <r>
      <rPr>
        <b/>
        <sz val="6"/>
        <color rgb="FFFF0000"/>
        <rFont val="Verdana"/>
        <family val="2"/>
      </rPr>
      <t>Nota 1</t>
    </r>
    <r>
      <rPr>
        <sz val="6"/>
        <color rgb="FFFF0000"/>
        <rFont val="Verdana"/>
        <family val="2"/>
      </rPr>
      <t>: Os itens que contemplam o módulo 4 se referem ao custo dos dias trabalhados pelo repositor/substituto, quando o empregado alocado na prestação de serviço estiver ausente, conforme as previsões estabelecidas na legislação. (Redação dada pela Instrução Normativa nº 7, de 2018)</t>
    </r>
  </si>
  <si>
    <r>
      <rPr>
        <b/>
        <sz val="6"/>
        <color rgb="FFFF0000"/>
        <rFont val="Verdana"/>
        <family val="2"/>
      </rPr>
      <t>Nota 2</t>
    </r>
    <r>
      <rPr>
        <sz val="6"/>
        <color rgb="FFFF0000"/>
        <rFont val="Verdana"/>
        <family val="2"/>
      </rPr>
      <t xml:space="preserve">: No primeiro ano são 30 dias de aviso prévio trabalhado que é repassado pela Contratante em 100% não devendo pagar esse valor a partir da prorrogação.  A partir do segundo ano em diante  de contrato é somado mais 3 dias ao Aviso prévio o que corresponde a 10%.  Fórmula para cálculo:  {[(Remuneração / 30) x 7] / 12} x Valor%.  </t>
    </r>
  </si>
  <si>
    <t>4.2</t>
  </si>
  <si>
    <r>
      <t xml:space="preserve">Submódulo - Substituto na Intrajornada </t>
    </r>
    <r>
      <rPr>
        <b/>
        <sz val="8"/>
        <color rgb="FFFF0000"/>
        <rFont val="Verdana"/>
        <family val="2"/>
      </rPr>
      <t>(deve justificar seu uso)</t>
    </r>
  </si>
  <si>
    <t>Será necessário o uso de substituto no intervalo intrajornada?  (justificar o seu uso)</t>
  </si>
  <si>
    <t>Sim</t>
  </si>
  <si>
    <t>A.1</t>
  </si>
  <si>
    <t>Qual é o intervalo computados em hora ou fração?</t>
  </si>
  <si>
    <r>
      <rPr>
        <b/>
        <sz val="6"/>
        <color rgb="FFFF0000"/>
        <rFont val="Verdana"/>
        <family val="2"/>
      </rPr>
      <t>Nota 1:</t>
    </r>
    <r>
      <rPr>
        <sz val="6"/>
        <color rgb="FFFF0000"/>
        <rFont val="Verdana"/>
        <family val="2"/>
      </rPr>
      <t xml:space="preserve">  Se for devidamente justificado escrever a palavra "Sim" se for usar.  Caso contrário usar a palavra "Não" ou deixar em branco</t>
    </r>
  </si>
  <si>
    <r>
      <rPr>
        <b/>
        <sz val="6"/>
        <color rgb="FFFF0000"/>
        <rFont val="Verdana"/>
        <family val="2"/>
      </rPr>
      <t>Fórmula:</t>
    </r>
    <r>
      <rPr>
        <sz val="6"/>
        <color rgb="FFFF0000"/>
        <rFont val="Verdana"/>
        <family val="2"/>
      </rPr>
      <t xml:space="preserve">  Remuneração/ 220 (considerando 44 horas semanais) X 22 (dias úteis mês) * horas de intervalo por dia</t>
    </r>
  </si>
  <si>
    <t xml:space="preserve">Quadro-Resumo do Módulo 4 - Custo de Reposição do Profissional Ausente </t>
  </si>
  <si>
    <t>Substituto nas Ausências Legais</t>
  </si>
  <si>
    <t>Substituto na Intrajornada</t>
  </si>
  <si>
    <r>
      <rPr>
        <b/>
        <sz val="6"/>
        <color rgb="FFFF0000"/>
        <rFont val="Verdana"/>
        <family val="2"/>
      </rPr>
      <t>Nota</t>
    </r>
    <r>
      <rPr>
        <sz val="6"/>
        <color rgb="FFFF0000"/>
        <rFont val="Verdana"/>
        <family val="2"/>
      </rPr>
      <t>: o valor informado deverá ser o custo real do insumo (descontado o valor eventualmente pago pelo empregado).</t>
    </r>
  </si>
  <si>
    <r>
      <rPr>
        <b/>
        <sz val="6"/>
        <color rgb="FFFF0000"/>
        <rFont val="Verdana"/>
        <family val="2"/>
      </rPr>
      <t>Como fazer os cálculos?</t>
    </r>
    <r>
      <rPr>
        <sz val="6"/>
        <color rgb="FFFF0000"/>
        <rFont val="Verdana"/>
        <family val="2"/>
      </rPr>
      <t xml:space="preserve"> Verificar o valor do insumo multiplicar pela quantidade que será usada por ano e dividir por 12.</t>
    </r>
  </si>
  <si>
    <t>MÓDULO 06 - CUSTOS INDIRETOS, TRIBUTOS E LUCRO</t>
  </si>
  <si>
    <t>Custos indiretos, tributos e lucro</t>
  </si>
  <si>
    <t xml:space="preserve">Custos indiretos (SOMA módulos 1 a 5 X taxa %) =  </t>
  </si>
  <si>
    <t xml:space="preserve">Lucro (SOMA módulos [1 a 5 + A] X taxa %) =  </t>
  </si>
  <si>
    <t>TRIBUTOS</t>
  </si>
  <si>
    <t>C.1. Tributos federais (especificar)</t>
  </si>
  <si>
    <t xml:space="preserve">     PIS</t>
  </si>
  <si>
    <t xml:space="preserve">     COFINS</t>
  </si>
  <si>
    <t>C.2. Tributos Estaduais (especificar)</t>
  </si>
  <si>
    <t>C.3. Tributos Municipais (especificar)</t>
  </si>
  <si>
    <t xml:space="preserve">     ISSQN</t>
  </si>
  <si>
    <t>C.4. Outros Tributos (Especificar)</t>
  </si>
  <si>
    <t>b) P = (Soma dos Módulos 1 a 5 + Custos indiretos + Lucro)</t>
  </si>
  <si>
    <t xml:space="preserve">Onde:  </t>
  </si>
  <si>
    <t>F = Fator</t>
  </si>
  <si>
    <t>P = Preço = soma dos módulos 1, 2, 3, 4, 5, Custos indiretos e lucro</t>
  </si>
  <si>
    <t>PF = Preço Final incluindo os tributos.</t>
  </si>
  <si>
    <t>QUADRO-RESUMO DO CUSTO POR EMPREGADO</t>
  </si>
  <si>
    <t>Mão de obra vinculada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</si>
  <si>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</si>
  <si>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</si>
  <si>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</si>
  <si>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</si>
  <si>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</si>
  <si>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</t>
  </si>
  <si>
    <t>Módulo 6 - Custos Indiretos, Tributos e Lucro</t>
  </si>
  <si>
    <t>VALOR TOTAL POR EMPREGADO R$</t>
  </si>
  <si>
    <t>__/__/____</t>
  </si>
  <si>
    <t>_______</t>
  </si>
  <si>
    <r>
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</t>
    </r>
    <r>
      <rPr>
        <sz val="6"/>
        <color rgb="FFFF0000"/>
        <rFont val="Verdana"/>
        <family val="2"/>
      </rPr>
      <t>Nota 3: Esses percentuais incidem sobre o Módulo 1, o Submódulo 2.1. (Redação dada pela Instrução Normativa nº 7, de 2018)</t>
    </r>
  </si>
  <si>
    <r>
      <t xml:space="preserve">Férias e Adicional de Férias  </t>
    </r>
    <r>
      <rPr>
        <sz val="6"/>
        <color rgb="FFFF0000"/>
        <rFont val="Verdana"/>
        <family val="2"/>
      </rPr>
      <t>(Cálculo: remuneração / 3 / 12)</t>
    </r>
  </si>
  <si>
    <r>
      <t xml:space="preserve">Incidência do Submódulo 2.1 sobre 13º Salário e Adicional de Férias  </t>
    </r>
    <r>
      <rPr>
        <sz val="6"/>
        <color rgb="FF006600"/>
        <rFont val="Verdana"/>
        <family val="2"/>
      </rPr>
      <t>(Cálculo: subtotal x % dos encargos previdênciários e FGTS)</t>
    </r>
  </si>
  <si>
    <t>MODELO DA CONTA VINCULADA</t>
  </si>
  <si>
    <t>Total (Subtotal + C)</t>
  </si>
  <si>
    <t>Nota 1: Como a planilha de custos e formação de preços é calculada mensalmente, provisiona-se proporcionalmente 1/12 (um doze avos) dos valores referentes a gratificação natalina, férias e adicional de férias. (Redação dada pela Instrução Normativa nº 7, de 2018)
Nota 2: O adicional de férias contido no Submódulo 2.1 corresponde a 1/3 (um terço) da remuneração que por sua vez é divido por 12 (doze) conforme Nota 1 acima.
Nota 3: Levando em consideração a vigência contratual prevista no art. 57 da Lei nº 8.666, de 23 de junho de 1993, a rubrica férias tem como objetivo principal suprir a necessidade do pagamento das férias remuneradas ao final do contrato de 12 meses. Esta rubrica, quando da prorrogação contratual, torna-se custo não renovável.  (Incluído pela Instrução Normativa nº 7, de 2018)</t>
  </si>
  <si>
    <t>13º (décimo terceiro) Salário e Adicional de Férias</t>
  </si>
  <si>
    <t>Valores</t>
  </si>
  <si>
    <t>Incidência do FGTS sobre aviso prévio indenizado</t>
  </si>
  <si>
    <r>
      <rPr>
        <b/>
        <sz val="6"/>
        <color rgb="FFFF0000"/>
        <rFont val="Verdana"/>
        <family val="2"/>
      </rPr>
      <t>Nota</t>
    </r>
    <r>
      <rPr>
        <sz val="6"/>
        <color rgb="FFFF0000"/>
        <rFont val="Verdana"/>
        <family val="2"/>
      </rPr>
      <t xml:space="preserve">: No primeiro ano são 30 dias de aviso prévio trabalhado que é repassado pela Contratante em 100% não devendo pagar esse valor a partir da prorrogação.  A partir do segundo ano em diante  de contrato é somado mais 3 dias ao Aviso prévio o que corresponde a 10%.  Fórmula para cálculo:  {[(Remuneração / 30) x 7] / 12} x Valor%.  </t>
    </r>
  </si>
  <si>
    <t>Cobertura de Férias</t>
  </si>
  <si>
    <t>Subtotal (A + B + C + D + E + F)</t>
  </si>
  <si>
    <t>Incidência do Submódulo 2.1 sobre o custo de reposição (Total % x Subtotal)</t>
  </si>
  <si>
    <t>B.1</t>
  </si>
  <si>
    <t>B.2</t>
  </si>
  <si>
    <t>1. MÓDULOS</t>
  </si>
  <si>
    <t>Mão de Obra</t>
  </si>
  <si>
    <t>Mão de obra vinculada à execução contratual</t>
  </si>
  <si>
    <t>Módulo 1 - Composição da Remuneração (Redação dada pela Instrução Normativa nº 7, de 2018)</t>
  </si>
  <si>
    <r>
      <t xml:space="preserve">Adicional de Hora Extra </t>
    </r>
    <r>
      <rPr>
        <sz val="6"/>
        <color rgb="FFFF0000"/>
        <rFont val="Verdana"/>
        <family val="2"/>
      </rPr>
      <t>(deve ser justificado o uso)</t>
    </r>
  </si>
  <si>
    <t xml:space="preserve">          Contribuição social 
         (10%) - LC 110/2001</t>
  </si>
  <si>
    <t>Prorrogado?</t>
  </si>
  <si>
    <t>Contrato prorrogado?</t>
  </si>
  <si>
    <t>Salário Normativo da Categoria Profissional</t>
  </si>
  <si>
    <t>Conta Vinculada?</t>
  </si>
  <si>
    <t>% ENCARGOS PREVIDENCIÁRIOS, FGTS E OUTRAS CONTRIBUIÇÕES</t>
  </si>
  <si>
    <t xml:space="preserve">      Férias:</t>
  </si>
  <si>
    <t xml:space="preserve">      Adicional de Férias:</t>
  </si>
  <si>
    <t>Férias e Adicional de Férias</t>
  </si>
  <si>
    <r>
      <t xml:space="preserve">Módulo 2 - Encargos e Benefícios Anuais, Mensais e Diários </t>
    </r>
    <r>
      <rPr>
        <b/>
        <sz val="8"/>
        <color rgb="FFFF0000"/>
        <rFont val="Verdana"/>
        <family val="2"/>
      </rPr>
      <t>(PREENCHIMENTO AUTOMÁTICO.  Verificar planilha de parâmetros)</t>
    </r>
  </si>
  <si>
    <t>SAT</t>
  </si>
  <si>
    <t>Optante do SIMPLES</t>
  </si>
  <si>
    <t>MÉDIA MENSAL DE DIAS DE TRABALHO</t>
  </si>
  <si>
    <t>Quant.</t>
  </si>
  <si>
    <t>Quantidade de feriados no ano</t>
  </si>
  <si>
    <t>Ano em análise</t>
  </si>
  <si>
    <t>Quantidade de dias do ano analisado</t>
  </si>
  <si>
    <t>Média de Dias</t>
  </si>
  <si>
    <r>
      <t xml:space="preserve">Dados para composição dos custos referentes a mão de obra </t>
    </r>
    <r>
      <rPr>
        <b/>
        <sz val="6"/>
        <color rgb="FFFF0000"/>
        <rFont val="Verdana"/>
        <family val="2"/>
      </rPr>
      <t>(PREENCHIMENTO AUTOMÁTICO da Média de Dias.  Verificar a Planilha Parâmetros)</t>
    </r>
  </si>
  <si>
    <t>Incidência do submódulo 2.2 (GPS, FGTS e outras contribuições) sobre aviso prévio trabalhado</t>
  </si>
  <si>
    <t>https://licitacao.online/forum/forum-de-discussao/planilha-de-custos/substituto-na-cobertura-de-férias</t>
  </si>
  <si>
    <r>
      <rPr>
        <b/>
        <sz val="6"/>
        <color rgb="FF006600"/>
        <rFont val="Verdana"/>
        <family val="2"/>
      </rPr>
      <t>Fórmula:</t>
    </r>
    <r>
      <rPr>
        <sz val="6"/>
        <color rgb="FF006600"/>
        <rFont val="Verdana"/>
        <family val="2"/>
      </rPr>
      <t xml:space="preserve">  Remuneração/ 220 (considerando 44 horas semanais) X 22 (dias úteis mês) * horas de intervalo por dia</t>
    </r>
  </si>
  <si>
    <r>
      <t>SAT/GIIL-RAT</t>
    </r>
    <r>
      <rPr>
        <sz val="6"/>
        <color rgb="FFFF0000"/>
        <rFont val="Verdana"/>
        <family val="2"/>
      </rPr>
      <t xml:space="preserve"> (SAT X FAP)</t>
    </r>
  </si>
  <si>
    <t>FAP</t>
  </si>
  <si>
    <t>13º Salário</t>
  </si>
  <si>
    <t xml:space="preserve">% Desconto do salário base </t>
  </si>
  <si>
    <t>MÉDIA MENSAL DE DIAS DE TRABALHO - JORNADA 12 X 36HORAS</t>
  </si>
  <si>
    <t>MÉDIA MENSAL DE DIAS DE TRABALHO - JORNADA COMUM</t>
  </si>
  <si>
    <t>REGIME?</t>
  </si>
  <si>
    <t>Regime de Trabalho?</t>
  </si>
  <si>
    <t>Produ-tividade adotada</t>
  </si>
  <si>
    <r>
      <t xml:space="preserve">Intervalo Intrajornada? </t>
    </r>
    <r>
      <rPr>
        <sz val="6"/>
        <color rgb="FFFF0000"/>
        <rFont val="Verdana"/>
        <family val="2"/>
      </rPr>
      <t>(caráter indenizatório)</t>
    </r>
  </si>
  <si>
    <r>
      <t xml:space="preserve">Transporte </t>
    </r>
    <r>
      <rPr>
        <sz val="6"/>
        <color indexed="10"/>
        <rFont val="Verdana"/>
        <family val="2"/>
      </rPr>
      <t>(Cálculo: [valor do vale x Quant. vales por dia x dias trabalhados] - 6% do salário básico).  Desconto não poderá ser superior ao efetivo custo do transporte.</t>
    </r>
    <r>
      <rPr>
        <sz val="8"/>
        <rFont val="Verdana"/>
        <family val="2"/>
      </rPr>
      <t xml:space="preserve"> </t>
    </r>
  </si>
  <si>
    <r>
      <rPr>
        <b/>
        <sz val="6"/>
        <color rgb="FF006600"/>
        <rFont val="Verdana"/>
        <family val="2"/>
      </rPr>
      <t>Outra obsevação 1</t>
    </r>
    <r>
      <rPr>
        <sz val="6"/>
        <color rgb="FF006600"/>
        <rFont val="Verdana"/>
        <family val="2"/>
      </rPr>
      <t>: A SEGES desconta até 3% quando vigilante.</t>
    </r>
  </si>
  <si>
    <t>Benefício Dedutível?</t>
  </si>
  <si>
    <t>Módulo 3 - Provisão para Rescisão (Redação dada pela Instrução Normativa nº 7, de 2018)</t>
  </si>
  <si>
    <t>% Aviso Prévio Proporcional (parâmetro para os itens A e B)</t>
  </si>
  <si>
    <t>Multa do FGTS - em caso de aviso prévio trabalhado</t>
  </si>
  <si>
    <t>Adicional de insalubridade</t>
  </si>
  <si>
    <t>Sal. mínimo X (10%, 20% ou 40%)</t>
  </si>
  <si>
    <t>(Salário base X 30%)</t>
  </si>
  <si>
    <t>19h</t>
  </si>
  <si>
    <t>JORNADA MISTA - DAS 19h às 21h e das 22h às 03h</t>
  </si>
  <si>
    <t>2 horas diurnas</t>
  </si>
  <si>
    <t>Interva-lo</t>
  </si>
  <si>
    <t>5 horas noturnas + redução = 5,71</t>
  </si>
  <si>
    <t>Horário Diurno</t>
  </si>
  <si>
    <t>Horário Noturno</t>
  </si>
  <si>
    <t>20h</t>
  </si>
  <si>
    <t>21h</t>
  </si>
  <si>
    <t>22h</t>
  </si>
  <si>
    <t>23h</t>
  </si>
  <si>
    <t>0h</t>
  </si>
  <si>
    <t>1h</t>
  </si>
  <si>
    <t>2h</t>
  </si>
  <si>
    <t>3h</t>
  </si>
  <si>
    <t>Adic. de Hora Noturna Reduzida</t>
  </si>
  <si>
    <t xml:space="preserve">(1÷12) = </t>
  </si>
  <si>
    <r>
      <t xml:space="preserve">Submódulo - Encargos Previdenciários (GPS), Fundo de Garantia por Tempo de Serviço (FGTS) e outras contribuições </t>
    </r>
    <r>
      <rPr>
        <sz val="6"/>
        <color rgb="FFFF0000"/>
        <rFont val="Verdana"/>
        <family val="2"/>
      </rPr>
      <t>(PREENCHIMENTO AUTOMÁTICO exceto SAT X FAP.  Verificar planilha de parâmetros)</t>
    </r>
  </si>
  <si>
    <t>Adicional noturno?</t>
  </si>
  <si>
    <t>Dedução: Provisão demissão com justa causa e outros motivos.  Calcular PAULO RUI BARBOSA</t>
  </si>
  <si>
    <t>Índice (IN 05)</t>
  </si>
  <si>
    <t>TOTAL</t>
  </si>
  <si>
    <t>Dedutível?</t>
  </si>
  <si>
    <t>Normal</t>
  </si>
  <si>
    <t>Substituto na cobertura de Férias</t>
  </si>
  <si>
    <t>Lucro (SOMA módulos [1 a 5 + A] X taxa %)</t>
  </si>
  <si>
    <t>Afastamentos</t>
  </si>
  <si>
    <t>DADOS REFERENTES À CONTRATAÇÃO</t>
  </si>
  <si>
    <t>Analista de Suporte Técnico</t>
  </si>
  <si>
    <t>Auxílio alimentação (Vales, cesta básica etc.) - 11ª</t>
  </si>
  <si>
    <t>Treinamento (Prog. Qual. Trabalhador) - 21ª</t>
  </si>
  <si>
    <t>Auxílio Morte/Funeral (1 sal.x3%÷12x3 = 0,0075) - 13ª</t>
  </si>
  <si>
    <t>Seguro de vida e acidente trabalho - 24ª</t>
  </si>
  <si>
    <t>PCMSO, PPRA e CIPA - 33ª</t>
  </si>
  <si>
    <t>Estojo primeiros socorros (R$ 4,00 por empregado) - 36ª</t>
  </si>
  <si>
    <t>EPI's (R$ 7,00) - 22ª</t>
  </si>
  <si>
    <t>ANALISTA DE SUPORTE TÉCNICO</t>
  </si>
  <si>
    <t>ANALISTA DE SISTEMAS – JUNIOR</t>
  </si>
  <si>
    <t>ANALISTA DE SISTEMAS – SENIOR</t>
  </si>
  <si>
    <t>GESTOR DE CONTRATO</t>
  </si>
  <si>
    <r>
      <t xml:space="preserve">DESENVOLVEDOR FULL STACK </t>
    </r>
    <r>
      <rPr>
        <sz val="8"/>
        <color rgb="FF00000A"/>
        <rFont val="Verdana"/>
        <family val="2"/>
      </rPr>
      <t>(Programador de sistemas de informação)</t>
    </r>
  </si>
  <si>
    <t>Posto</t>
  </si>
  <si>
    <t>PARA REGISTRO</t>
  </si>
  <si>
    <t>PARA CONTRATAÇÃO</t>
  </si>
  <si>
    <t>Item (1)</t>
  </si>
  <si>
    <t>Função (2)</t>
  </si>
  <si>
    <t>Unid. (3)</t>
  </si>
  <si>
    <t>Custo Mensal Unitário (R$) (4)</t>
  </si>
  <si>
    <t>Quant. (5)</t>
  </si>
  <si>
    <t>Custo Mensal (6)</t>
  </si>
  <si>
    <t>Custo Anual (7)</t>
  </si>
  <si>
    <t>Quant. (8)</t>
  </si>
  <si>
    <t>Custo Mensal (9)</t>
  </si>
  <si>
    <t>Custo Anual (10)</t>
  </si>
  <si>
    <t>DESENVOLVEDOR FULL STACK (Programador de sistemas de informação)</t>
  </si>
  <si>
    <t>30 horas</t>
  </si>
  <si>
    <t>TÉCNICO DA TECNOLOGIA DA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</si>
</sst>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0.0%"/>
    <numFmt numFmtId="167" formatCode="h:mm;@"/>
    <numFmt numFmtId="168" formatCode="_-* #,##0.0000_-;\-* #,##0.0000_-;_-* &quot;-&quot;????_-;_-@_-"/>
    <numFmt numFmtId="169" formatCode="0.000%"/>
    <numFmt numFmtId="170" formatCode="0.0000%"/>
    <numFmt numFmtId="171" formatCode="_-* #,##0.000_-;\-* #,##0.000_-;_-* &quot;-&quot;???_-;_-@_-"/>
    <numFmt numFmtId="172" formatCode="[$-F400]h:mm:ss\ AM/PM"/>
    <numFmt numFmtId="173" formatCode="0.00000000000000"/>
    <numFmt numFmtId="174" formatCode="0.000000000000000000"/>
    <numFmt numFmtId="175" formatCode="_(* #,##0.0000_);_(* \(#,##0.0000\);_(* &quot;-&quot;??_);_(@_)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Verdana"/>
      <family val="2"/>
    </font>
    <font>
      <sz val="8.5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b/>
      <i/>
      <sz val="8"/>
      <name val="Verdana"/>
      <family val="2"/>
    </font>
    <font>
      <b/>
      <sz val="7.5"/>
      <name val="Verdana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7"/>
      <name val="Verdana"/>
      <family val="2"/>
    </font>
    <font>
      <i/>
      <sz val="7"/>
      <name val="Verdana"/>
      <family val="2"/>
    </font>
    <font>
      <b/>
      <sz val="7"/>
      <name val="Verdana"/>
      <family val="2"/>
    </font>
    <font>
      <sz val="6"/>
      <color indexed="10"/>
      <name val="Verdana"/>
      <family val="2"/>
    </font>
    <font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i/>
      <sz val="8.5"/>
      <color rgb="FFFF0000"/>
      <name val="Verdana"/>
      <family val="2"/>
    </font>
    <font>
      <b/>
      <sz val="10"/>
      <color rgb="FF000099"/>
      <name val="Verdana"/>
      <family val="2"/>
    </font>
    <font>
      <i/>
      <sz val="8"/>
      <color rgb="FFFF0000"/>
      <name val="Verdana"/>
      <family val="2"/>
    </font>
    <font>
      <b/>
      <sz val="8"/>
      <color rgb="FFFF0000"/>
      <name val="Verdana"/>
      <family val="2"/>
    </font>
    <font>
      <sz val="10"/>
      <color rgb="FFFF0000"/>
      <name val="Verdana"/>
      <family val="2"/>
    </font>
    <font>
      <i/>
      <sz val="10"/>
      <color rgb="FFFF0000"/>
      <name val="Verdana"/>
      <family val="2"/>
    </font>
    <font>
      <b/>
      <i/>
      <sz val="10"/>
      <color rgb="FFFF0000"/>
      <name val="Verdana"/>
      <family val="2"/>
    </font>
    <font>
      <sz val="6"/>
      <color rgb="FFFF0000"/>
      <name val="Verdana"/>
      <family val="2"/>
    </font>
    <font>
      <b/>
      <sz val="12"/>
      <color rgb="FF000099"/>
      <name val="Verdana"/>
      <family val="2"/>
    </font>
    <font>
      <sz val="8"/>
      <color rgb="FF006600"/>
      <name val="Verdana"/>
      <family val="2"/>
    </font>
    <font>
      <b/>
      <sz val="6"/>
      <color rgb="FF006600"/>
      <name val="Verdana"/>
      <family val="2"/>
    </font>
    <font>
      <i/>
      <sz val="8"/>
      <color rgb="FF006600"/>
      <name val="Verdana"/>
      <family val="2"/>
    </font>
    <font>
      <b/>
      <sz val="8"/>
      <color rgb="FF006600"/>
      <name val="Verdana"/>
      <family val="2"/>
    </font>
    <font>
      <b/>
      <sz val="6"/>
      <color rgb="FFFF0000"/>
      <name val="Verdana"/>
      <family val="2"/>
    </font>
    <font>
      <b/>
      <i/>
      <sz val="8"/>
      <color rgb="FF006600"/>
      <name val="Verdana"/>
      <family val="2"/>
    </font>
    <font>
      <b/>
      <sz val="5"/>
      <color rgb="FFFF0000"/>
      <name val="Verdana"/>
      <family val="2"/>
    </font>
    <font>
      <sz val="10"/>
      <color rgb="FF00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000000"/>
      <name val="Arial"/>
      <family val="2"/>
    </font>
    <font>
      <sz val="6"/>
      <color rgb="FF006600"/>
      <name val="Verdana"/>
      <family val="2"/>
    </font>
    <font>
      <i/>
      <sz val="6"/>
      <name val="Verdana"/>
      <family val="2"/>
    </font>
    <font>
      <i/>
      <sz val="6"/>
      <color rgb="FFFF0000"/>
      <name val="Verdana"/>
      <family val="2"/>
    </font>
    <font>
      <i/>
      <sz val="8"/>
      <name val="Times New Roman"/>
      <family val="1"/>
    </font>
    <font>
      <u/>
      <sz val="10"/>
      <color theme="10"/>
      <name val="Arial"/>
      <family val="2"/>
    </font>
    <font>
      <b/>
      <i/>
      <sz val="8"/>
      <color rgb="FFFF0000"/>
      <name val="Verdana"/>
      <family val="2"/>
    </font>
    <font>
      <b/>
      <sz val="12"/>
      <color rgb="FFFF0000"/>
      <name val="Verdana"/>
      <family val="2"/>
    </font>
    <font>
      <b/>
      <sz val="7"/>
      <color rgb="FFFF0000"/>
      <name val="Verdana"/>
      <family val="2"/>
    </font>
    <font>
      <i/>
      <strike/>
      <sz val="8"/>
      <color rgb="FFFF0000"/>
      <name val="Verdana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0000FF"/>
      <name val="Arial"/>
      <family val="2"/>
    </font>
    <font>
      <sz val="9"/>
      <color rgb="FF006600"/>
      <name val="Arial"/>
      <family val="2"/>
    </font>
    <font>
      <b/>
      <sz val="7"/>
      <color rgb="FF006600"/>
      <name val="Verdana"/>
      <family val="2"/>
    </font>
    <font>
      <b/>
      <sz val="8"/>
      <color rgb="FF00000A"/>
      <name val="Verdana"/>
      <family val="2"/>
    </font>
    <font>
      <sz val="8"/>
      <color rgb="FF00000A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8">
    <xf numFmtId="0" fontId="0" fillId="0" borderId="0"/>
    <xf numFmtId="0" fontId="21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47" fillId="0" borderId="0" applyNumberFormat="0" applyFill="0" applyBorder="0" applyAlignment="0" applyProtection="0"/>
  </cellStyleXfs>
  <cellXfs count="643">
    <xf numFmtId="0" fontId="0" fillId="0" borderId="0" xfId="0"/>
    <xf numFmtId="0" fontId="3" fillId="0" borderId="0" xfId="0" applyFont="1" applyFill="1" applyProtection="1">
      <protection locked="0"/>
    </xf>
    <xf numFmtId="165" fontId="3" fillId="0" borderId="0" xfId="3" applyFont="1" applyFill="1" applyProtection="1">
      <protection locked="0"/>
    </xf>
    <xf numFmtId="165" fontId="3" fillId="0" borderId="0" xfId="3" applyFont="1" applyFill="1" applyProtection="1"/>
    <xf numFmtId="0" fontId="4" fillId="0" borderId="0" xfId="0" applyFont="1" applyFill="1" applyProtection="1">
      <protection locked="0"/>
    </xf>
    <xf numFmtId="0" fontId="3" fillId="0" borderId="0" xfId="0" applyFont="1" applyFill="1" applyBorder="1" applyProtection="1"/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165" fontId="9" fillId="0" borderId="2" xfId="3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165" fontId="9" fillId="0" borderId="3" xfId="3" applyFont="1" applyFill="1" applyBorder="1" applyAlignment="1" applyProtection="1">
      <alignment vertical="center"/>
    </xf>
    <xf numFmtId="165" fontId="9" fillId="0" borderId="4" xfId="3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165" fontId="9" fillId="0" borderId="1" xfId="3" applyFont="1" applyFill="1" applyBorder="1" applyAlignment="1" applyProtection="1">
      <alignment vertical="center"/>
    </xf>
    <xf numFmtId="0" fontId="7" fillId="0" borderId="5" xfId="0" applyFont="1" applyFill="1" applyBorder="1" applyProtection="1">
      <protection locked="0"/>
    </xf>
    <xf numFmtId="0" fontId="9" fillId="0" borderId="5" xfId="0" applyFont="1" applyFill="1" applyBorder="1" applyProtection="1"/>
    <xf numFmtId="165" fontId="7" fillId="0" borderId="5" xfId="3" applyFont="1" applyFill="1" applyBorder="1" applyProtection="1"/>
    <xf numFmtId="0" fontId="7" fillId="0" borderId="0" xfId="0" applyFont="1" applyFill="1" applyProtection="1">
      <protection locked="0"/>
    </xf>
    <xf numFmtId="0" fontId="6" fillId="0" borderId="6" xfId="0" applyFont="1" applyFill="1" applyBorder="1" applyAlignment="1" applyProtection="1">
      <alignment horizontal="center" vertical="center"/>
    </xf>
    <xf numFmtId="166" fontId="7" fillId="0" borderId="8" xfId="2" applyNumberFormat="1" applyFont="1" applyFill="1" applyBorder="1" applyAlignment="1" applyProtection="1">
      <alignment horizontal="center" vertical="center"/>
    </xf>
    <xf numFmtId="166" fontId="7" fillId="0" borderId="10" xfId="2" applyNumberFormat="1" applyFont="1" applyFill="1" applyBorder="1" applyAlignment="1" applyProtection="1">
      <alignment horizontal="center" vertical="center"/>
    </xf>
    <xf numFmtId="166" fontId="7" fillId="0" borderId="12" xfId="2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166" fontId="9" fillId="0" borderId="6" xfId="0" applyNumberFormat="1" applyFont="1" applyFill="1" applyBorder="1" applyAlignment="1" applyProtection="1">
      <alignment vertical="center"/>
    </xf>
    <xf numFmtId="0" fontId="7" fillId="0" borderId="0" xfId="0" applyFont="1" applyFill="1" applyBorder="1" applyProtection="1">
      <protection locked="0"/>
    </xf>
    <xf numFmtId="0" fontId="9" fillId="0" borderId="0" xfId="0" applyFont="1" applyFill="1" applyBorder="1" applyProtection="1"/>
    <xf numFmtId="165" fontId="7" fillId="0" borderId="0" xfId="3" applyFont="1" applyFill="1" applyBorder="1" applyProtection="1"/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8" fillId="0" borderId="14" xfId="0" applyFont="1" applyFill="1" applyBorder="1" applyAlignment="1" applyProtection="1">
      <alignment horizontal="left" vertical="center"/>
    </xf>
    <xf numFmtId="165" fontId="9" fillId="0" borderId="6" xfId="3" applyFont="1" applyFill="1" applyBorder="1" applyAlignment="1" applyProtection="1">
      <alignment vertical="center"/>
    </xf>
    <xf numFmtId="165" fontId="7" fillId="0" borderId="2" xfId="3" applyFont="1" applyFill="1" applyBorder="1" applyAlignment="1" applyProtection="1">
      <alignment vertical="center"/>
    </xf>
    <xf numFmtId="165" fontId="7" fillId="0" borderId="3" xfId="3" applyFont="1" applyFill="1" applyBorder="1" applyAlignment="1" applyProtection="1">
      <alignment vertical="center"/>
    </xf>
    <xf numFmtId="165" fontId="7" fillId="0" borderId="4" xfId="3" applyFont="1" applyFill="1" applyBorder="1" applyAlignment="1" applyProtection="1">
      <alignment vertical="center"/>
    </xf>
    <xf numFmtId="10" fontId="7" fillId="0" borderId="6" xfId="2" applyNumberFormat="1" applyFont="1" applyFill="1" applyBorder="1" applyAlignment="1" applyProtection="1">
      <alignment horizontal="center" vertical="center"/>
    </xf>
    <xf numFmtId="165" fontId="9" fillId="0" borderId="8" xfId="3" applyFont="1" applyFill="1" applyBorder="1" applyAlignment="1" applyProtection="1">
      <alignment vertical="center"/>
    </xf>
    <xf numFmtId="165" fontId="7" fillId="0" borderId="10" xfId="3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65" fontId="9" fillId="0" borderId="0" xfId="3" applyFont="1" applyFill="1" applyBorder="1" applyAlignment="1" applyProtection="1">
      <alignment vertical="center"/>
    </xf>
    <xf numFmtId="10" fontId="9" fillId="0" borderId="6" xfId="2" applyNumberFormat="1" applyFont="1" applyFill="1" applyBorder="1" applyAlignment="1" applyProtection="1">
      <alignment horizontal="center" vertical="center"/>
    </xf>
    <xf numFmtId="165" fontId="9" fillId="0" borderId="12" xfId="0" applyNumberFormat="1" applyFont="1" applyFill="1" applyBorder="1" applyAlignment="1" applyProtection="1">
      <alignment vertical="center"/>
    </xf>
    <xf numFmtId="165" fontId="7" fillId="0" borderId="0" xfId="3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9" fillId="0" borderId="14" xfId="0" applyFont="1" applyFill="1" applyBorder="1" applyAlignment="1" applyProtection="1">
      <alignment horizontal="center" vertical="center"/>
    </xf>
    <xf numFmtId="10" fontId="7" fillId="0" borderId="10" xfId="2" applyNumberFormat="1" applyFont="1" applyFill="1" applyBorder="1" applyAlignment="1" applyProtection="1">
      <alignment horizontal="center"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/>
    <xf numFmtId="0" fontId="9" fillId="0" borderId="5" xfId="0" applyFont="1" applyFill="1" applyBorder="1" applyAlignment="1" applyProtection="1"/>
    <xf numFmtId="0" fontId="9" fillId="0" borderId="0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/>
      <protection locked="0"/>
    </xf>
    <xf numFmtId="43" fontId="7" fillId="0" borderId="0" xfId="0" applyNumberFormat="1" applyFont="1" applyFill="1" applyProtection="1">
      <protection locked="0"/>
    </xf>
    <xf numFmtId="0" fontId="11" fillId="0" borderId="0" xfId="0" applyFont="1" applyAlignment="1">
      <alignment horizontal="center" vertical="center"/>
    </xf>
    <xf numFmtId="165" fontId="7" fillId="0" borderId="0" xfId="0" applyNumberFormat="1" applyFont="1" applyFill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43" fontId="7" fillId="0" borderId="0" xfId="0" applyNumberFormat="1" applyFont="1" applyFill="1" applyAlignment="1" applyProtection="1">
      <alignment vertical="center"/>
      <protection locked="0"/>
    </xf>
    <xf numFmtId="166" fontId="7" fillId="2" borderId="10" xfId="2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10" fontId="7" fillId="2" borderId="10" xfId="2" applyNumberFormat="1" applyFont="1" applyFill="1" applyBorder="1" applyAlignment="1" applyProtection="1">
      <alignment horizontal="center" vertical="center"/>
    </xf>
    <xf numFmtId="10" fontId="7" fillId="2" borderId="8" xfId="2" applyNumberFormat="1" applyFont="1" applyFill="1" applyBorder="1" applyAlignment="1" applyProtection="1">
      <alignment horizontal="center" vertical="center"/>
    </xf>
    <xf numFmtId="10" fontId="7" fillId="2" borderId="12" xfId="2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165" fontId="7" fillId="0" borderId="3" xfId="3" applyFont="1" applyFill="1" applyBorder="1" applyAlignment="1" applyProtection="1">
      <alignment horizontal="center" vertical="center"/>
    </xf>
    <xf numFmtId="0" fontId="23" fillId="0" borderId="0" xfId="0" applyFont="1" applyFill="1" applyProtection="1"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8" fillId="2" borderId="10" xfId="2" applyNumberFormat="1" applyFont="1" applyFill="1" applyBorder="1" applyAlignment="1" applyProtection="1">
      <alignment horizontal="center" vertical="center"/>
    </xf>
    <xf numFmtId="9" fontId="8" fillId="2" borderId="10" xfId="2" applyFont="1" applyFill="1" applyBorder="1" applyAlignment="1" applyProtection="1">
      <alignment horizontal="center" vertical="center"/>
    </xf>
    <xf numFmtId="10" fontId="8" fillId="0" borderId="12" xfId="2" applyNumberFormat="1" applyFont="1" applyFill="1" applyBorder="1" applyAlignment="1" applyProtection="1">
      <alignment horizontal="center" vertical="center"/>
    </xf>
    <xf numFmtId="10" fontId="6" fillId="0" borderId="8" xfId="2" applyNumberFormat="1" applyFont="1" applyFill="1" applyBorder="1" applyAlignment="1" applyProtection="1">
      <alignment horizontal="center" vertical="center"/>
    </xf>
    <xf numFmtId="0" fontId="8" fillId="0" borderId="0" xfId="0" applyFont="1" applyFill="1" applyProtection="1">
      <protection locked="0"/>
    </xf>
    <xf numFmtId="0" fontId="24" fillId="0" borderId="0" xfId="0" applyFont="1" applyAlignment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166" fontId="15" fillId="0" borderId="15" xfId="2" applyNumberFormat="1" applyFont="1" applyFill="1" applyBorder="1" applyAlignment="1" applyProtection="1">
      <alignment vertical="center"/>
    </xf>
    <xf numFmtId="165" fontId="16" fillId="0" borderId="0" xfId="3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165" fontId="9" fillId="0" borderId="2" xfId="3" applyNumberFormat="1" applyFont="1" applyFill="1" applyBorder="1" applyAlignment="1" applyProtection="1">
      <alignment horizontal="center" vertical="center"/>
    </xf>
    <xf numFmtId="10" fontId="7" fillId="2" borderId="6" xfId="2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165" fontId="9" fillId="0" borderId="0" xfId="0" applyNumberFormat="1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horizontal="left" vertical="top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/>
    </xf>
    <xf numFmtId="166" fontId="7" fillId="2" borderId="8" xfId="2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165" fontId="9" fillId="2" borderId="3" xfId="3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left" vertical="center"/>
    </xf>
    <xf numFmtId="0" fontId="8" fillId="2" borderId="15" xfId="0" applyFont="1" applyFill="1" applyBorder="1" applyAlignment="1" applyProtection="1">
      <alignment horizontal="left" vertical="center"/>
    </xf>
    <xf numFmtId="166" fontId="7" fillId="2" borderId="12" xfId="2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166" fontId="7" fillId="2" borderId="6" xfId="2" applyNumberFormat="1" applyFont="1" applyFill="1" applyBorder="1" applyAlignment="1" applyProtection="1">
      <alignment horizontal="center" vertical="center"/>
    </xf>
    <xf numFmtId="165" fontId="7" fillId="0" borderId="0" xfId="3" applyFont="1" applyFill="1" applyProtection="1">
      <protection locked="0"/>
    </xf>
    <xf numFmtId="0" fontId="18" fillId="0" borderId="0" xfId="0" applyFont="1" applyFill="1" applyProtection="1">
      <protection locked="0"/>
    </xf>
    <xf numFmtId="165" fontId="6" fillId="0" borderId="0" xfId="3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/>
    </xf>
    <xf numFmtId="165" fontId="26" fillId="2" borderId="1" xfId="3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165" fontId="6" fillId="0" borderId="6" xfId="3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left" vertical="center"/>
    </xf>
    <xf numFmtId="166" fontId="15" fillId="0" borderId="0" xfId="2" applyNumberFormat="1" applyFont="1" applyFill="1" applyBorder="1" applyAlignment="1" applyProtection="1">
      <alignment vertical="center"/>
    </xf>
    <xf numFmtId="10" fontId="9" fillId="0" borderId="0" xfId="2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</xf>
    <xf numFmtId="166" fontId="28" fillId="0" borderId="15" xfId="2" applyNumberFormat="1" applyFont="1" applyFill="1" applyBorder="1" applyAlignment="1" applyProtection="1">
      <alignment vertical="center"/>
    </xf>
    <xf numFmtId="165" fontId="29" fillId="0" borderId="0" xfId="3" applyFont="1" applyFill="1" applyBorder="1" applyAlignment="1" applyProtection="1">
      <alignment vertical="center"/>
    </xf>
    <xf numFmtId="0" fontId="28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43" fontId="25" fillId="0" borderId="0" xfId="0" applyNumberFormat="1" applyFont="1" applyFill="1" applyAlignment="1" applyProtection="1">
      <alignment vertical="center"/>
      <protection locked="0"/>
    </xf>
    <xf numFmtId="0" fontId="25" fillId="0" borderId="0" xfId="0" applyFont="1" applyFill="1" applyProtection="1">
      <protection locked="0"/>
    </xf>
    <xf numFmtId="0" fontId="7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center" vertical="center"/>
    </xf>
    <xf numFmtId="10" fontId="9" fillId="2" borderId="12" xfId="2" applyNumberFormat="1" applyFont="1" applyFill="1" applyBorder="1" applyAlignment="1" applyProtection="1">
      <alignment horizontal="center" vertical="center"/>
    </xf>
    <xf numFmtId="165" fontId="9" fillId="2" borderId="6" xfId="3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165" fontId="7" fillId="2" borderId="6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166" fontId="9" fillId="0" borderId="8" xfId="0" applyNumberFormat="1" applyFont="1" applyFill="1" applyBorder="1" applyAlignment="1" applyProtection="1">
      <alignment vertical="center"/>
    </xf>
    <xf numFmtId="10" fontId="8" fillId="0" borderId="8" xfId="2" applyNumberFormat="1" applyFont="1" applyFill="1" applyBorder="1" applyAlignment="1" applyProtection="1">
      <alignment horizontal="center" vertical="center"/>
    </xf>
    <xf numFmtId="10" fontId="6" fillId="0" borderId="8" xfId="2" applyNumberFormat="1" applyFont="1" applyFill="1" applyBorder="1" applyAlignment="1" applyProtection="1">
      <alignment horizontal="center" vertical="center" wrapText="1"/>
    </xf>
    <xf numFmtId="10" fontId="8" fillId="2" borderId="8" xfId="2" applyNumberFormat="1" applyFont="1" applyFill="1" applyBorder="1" applyAlignment="1" applyProtection="1">
      <alignment horizontal="center" vertical="center"/>
    </xf>
    <xf numFmtId="167" fontId="8" fillId="2" borderId="12" xfId="2" applyNumberFormat="1" applyFont="1" applyFill="1" applyBorder="1" applyAlignment="1" applyProtection="1">
      <alignment horizontal="center" vertical="center"/>
    </xf>
    <xf numFmtId="165" fontId="8" fillId="0" borderId="2" xfId="3" applyFont="1" applyFill="1" applyBorder="1" applyAlignment="1" applyProtection="1">
      <alignment vertical="center"/>
    </xf>
    <xf numFmtId="10" fontId="6" fillId="0" borderId="6" xfId="2" applyNumberFormat="1" applyFont="1" applyFill="1" applyBorder="1" applyAlignment="1" applyProtection="1">
      <alignment horizontal="center" vertical="center"/>
    </xf>
    <xf numFmtId="165" fontId="6" fillId="0" borderId="1" xfId="3" applyFont="1" applyFill="1" applyBorder="1" applyAlignment="1" applyProtection="1">
      <alignment vertical="center"/>
    </xf>
    <xf numFmtId="165" fontId="8" fillId="0" borderId="3" xfId="3" applyFont="1" applyFill="1" applyBorder="1" applyAlignment="1" applyProtection="1">
      <alignment vertical="center"/>
    </xf>
    <xf numFmtId="0" fontId="18" fillId="0" borderId="9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10" fontId="18" fillId="2" borderId="10" xfId="2" applyNumberFormat="1" applyFont="1" applyFill="1" applyBorder="1" applyAlignment="1" applyProtection="1">
      <alignment horizontal="center" vertical="center"/>
    </xf>
    <xf numFmtId="165" fontId="18" fillId="0" borderId="10" xfId="3" applyFont="1" applyFill="1" applyBorder="1" applyAlignment="1" applyProtection="1">
      <alignment vertical="center"/>
    </xf>
    <xf numFmtId="0" fontId="18" fillId="0" borderId="7" xfId="0" applyFont="1" applyFill="1" applyBorder="1" applyAlignment="1" applyProtection="1">
      <alignment horizontal="left" vertical="center"/>
    </xf>
    <xf numFmtId="10" fontId="18" fillId="2" borderId="8" xfId="2" applyNumberFormat="1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left" vertical="center"/>
    </xf>
    <xf numFmtId="165" fontId="8" fillId="2" borderId="2" xfId="3" applyFont="1" applyFill="1" applyBorder="1" applyAlignment="1" applyProtection="1">
      <alignment vertical="center"/>
    </xf>
    <xf numFmtId="165" fontId="8" fillId="2" borderId="3" xfId="3" applyFont="1" applyFill="1" applyBorder="1" applyAlignment="1" applyProtection="1">
      <alignment vertical="center"/>
    </xf>
    <xf numFmtId="165" fontId="6" fillId="2" borderId="3" xfId="3" applyFont="1" applyFill="1" applyBorder="1" applyAlignment="1" applyProtection="1">
      <alignment vertical="center"/>
    </xf>
    <xf numFmtId="165" fontId="8" fillId="2" borderId="4" xfId="3" applyFont="1" applyFill="1" applyBorder="1" applyAlignment="1" applyProtection="1">
      <alignment vertical="center"/>
    </xf>
    <xf numFmtId="165" fontId="6" fillId="2" borderId="4" xfId="3" applyFont="1" applyFill="1" applyBorder="1" applyAlignment="1" applyProtection="1">
      <alignment vertical="center"/>
    </xf>
    <xf numFmtId="165" fontId="6" fillId="0" borderId="2" xfId="3" applyFont="1" applyFill="1" applyBorder="1" applyAlignment="1" applyProtection="1">
      <alignment vertical="center"/>
    </xf>
    <xf numFmtId="165" fontId="6" fillId="0" borderId="3" xfId="3" applyFont="1" applyFill="1" applyBorder="1" applyAlignment="1" applyProtection="1">
      <alignment vertical="center"/>
    </xf>
    <xf numFmtId="165" fontId="6" fillId="0" borderId="4" xfId="3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 wrapText="1"/>
    </xf>
    <xf numFmtId="164" fontId="8" fillId="0" borderId="1" xfId="5" applyFont="1" applyFill="1" applyBorder="1" applyAlignment="1" applyProtection="1">
      <alignment horizontal="center" vertical="center"/>
    </xf>
    <xf numFmtId="9" fontId="7" fillId="0" borderId="0" xfId="2" applyFont="1" applyFill="1" applyProtection="1">
      <protection locked="0"/>
    </xf>
    <xf numFmtId="165" fontId="6" fillId="0" borderId="1" xfId="3" applyFont="1" applyFill="1" applyBorder="1" applyAlignment="1" applyProtection="1">
      <alignment horizontal="center" vertical="center"/>
    </xf>
    <xf numFmtId="14" fontId="6" fillId="2" borderId="1" xfId="3" applyNumberFormat="1" applyFont="1" applyFill="1" applyBorder="1" applyAlignment="1" applyProtection="1">
      <alignment horizontal="center" vertical="center"/>
    </xf>
    <xf numFmtId="165" fontId="8" fillId="2" borderId="1" xfId="3" applyFont="1" applyFill="1" applyBorder="1" applyAlignment="1" applyProtection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 wrapText="1"/>
    </xf>
    <xf numFmtId="14" fontId="8" fillId="0" borderId="1" xfId="3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165" fontId="7" fillId="0" borderId="6" xfId="0" applyNumberFormat="1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10" fontId="9" fillId="0" borderId="12" xfId="2" applyNumberFormat="1" applyFont="1" applyFill="1" applyBorder="1" applyAlignment="1" applyProtection="1">
      <alignment horizontal="center" vertical="center"/>
    </xf>
    <xf numFmtId="165" fontId="26" fillId="0" borderId="0" xfId="3" applyFont="1" applyFill="1" applyBorder="1" applyAlignment="1" applyProtection="1">
      <alignment horizontal="center" vertical="center"/>
    </xf>
    <xf numFmtId="0" fontId="7" fillId="0" borderId="0" xfId="0" quotePrefix="1" applyFont="1" applyFill="1" applyAlignment="1" applyProtection="1">
      <alignment vertical="center"/>
      <protection locked="0"/>
    </xf>
    <xf numFmtId="9" fontId="26" fillId="0" borderId="0" xfId="2" applyFont="1" applyFill="1" applyBorder="1" applyAlignment="1" applyProtection="1">
      <alignment horizontal="center" vertical="center"/>
    </xf>
    <xf numFmtId="0" fontId="6" fillId="0" borderId="0" xfId="3" applyNumberFormat="1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 applyProtection="1">
      <alignment vertical="center"/>
    </xf>
    <xf numFmtId="0" fontId="34" fillId="0" borderId="0" xfId="0" applyFont="1" applyFill="1" applyAlignment="1" applyProtection="1">
      <alignment vertical="center"/>
      <protection locked="0"/>
    </xf>
    <xf numFmtId="0" fontId="35" fillId="2" borderId="1" xfId="3" applyNumberFormat="1" applyFont="1" applyFill="1" applyBorder="1" applyAlignment="1" applyProtection="1">
      <alignment horizontal="center" vertical="center"/>
    </xf>
    <xf numFmtId="0" fontId="34" fillId="0" borderId="0" xfId="0" quotePrefix="1" applyFont="1" applyFill="1" applyAlignment="1" applyProtection="1">
      <alignment vertical="center"/>
      <protection locked="0"/>
    </xf>
    <xf numFmtId="10" fontId="7" fillId="0" borderId="8" xfId="2" applyNumberFormat="1" applyFont="1" applyFill="1" applyBorder="1" applyAlignment="1" applyProtection="1">
      <alignment horizontal="center" vertical="center"/>
    </xf>
    <xf numFmtId="10" fontId="7" fillId="0" borderId="12" xfId="2" applyNumberFormat="1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0" fontId="35" fillId="3" borderId="1" xfId="0" applyFont="1" applyFill="1" applyBorder="1" applyAlignment="1" applyProtection="1">
      <alignment horizontal="center" vertical="center" wrapText="1"/>
    </xf>
    <xf numFmtId="165" fontId="30" fillId="0" borderId="0" xfId="3" applyFont="1" applyFill="1" applyBorder="1" applyAlignment="1" applyProtection="1">
      <alignment horizontal="left" vertical="center"/>
    </xf>
    <xf numFmtId="0" fontId="35" fillId="0" borderId="3" xfId="0" applyFont="1" applyFill="1" applyBorder="1" applyAlignment="1" applyProtection="1">
      <alignment horizontal="center" vertical="center"/>
      <protection locked="0"/>
    </xf>
    <xf numFmtId="0" fontId="35" fillId="3" borderId="0" xfId="0" applyFont="1" applyFill="1" applyBorder="1" applyAlignment="1" applyProtection="1">
      <alignment horizontal="center" vertical="center" wrapText="1"/>
    </xf>
    <xf numFmtId="166" fontId="37" fillId="0" borderId="10" xfId="2" applyNumberFormat="1" applyFont="1" applyFill="1" applyBorder="1" applyAlignment="1" applyProtection="1">
      <alignment horizontal="center" vertical="center"/>
    </xf>
    <xf numFmtId="165" fontId="35" fillId="0" borderId="3" xfId="3" applyNumberFormat="1" applyFont="1" applyFill="1" applyBorder="1" applyAlignment="1" applyProtection="1">
      <alignment vertical="center"/>
    </xf>
    <xf numFmtId="0" fontId="33" fillId="0" borderId="1" xfId="0" applyFont="1" applyFill="1" applyBorder="1" applyAlignment="1" applyProtection="1">
      <alignment horizontal="center" vertical="center"/>
    </xf>
    <xf numFmtId="0" fontId="35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41" fillId="4" borderId="0" xfId="0" applyFont="1" applyFill="1" applyBorder="1" applyAlignment="1">
      <alignment horizontal="center" vertical="center" wrapText="1"/>
    </xf>
    <xf numFmtId="166" fontId="15" fillId="0" borderId="1" xfId="2" applyNumberFormat="1" applyFont="1" applyFill="1" applyBorder="1" applyAlignment="1" applyProtection="1">
      <alignment vertical="center"/>
    </xf>
    <xf numFmtId="0" fontId="40" fillId="4" borderId="0" xfId="0" applyFont="1" applyFill="1" applyBorder="1" applyAlignment="1">
      <alignment horizontal="left" vertical="center" wrapText="1"/>
    </xf>
    <xf numFmtId="165" fontId="35" fillId="2" borderId="2" xfId="3" applyFont="1" applyFill="1" applyBorder="1" applyAlignment="1" applyProtection="1">
      <alignment horizontal="center" vertical="center"/>
    </xf>
    <xf numFmtId="165" fontId="35" fillId="0" borderId="1" xfId="3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center" vertical="center"/>
      <protection locked="0"/>
    </xf>
    <xf numFmtId="165" fontId="34" fillId="0" borderId="3" xfId="3" applyFont="1" applyFill="1" applyBorder="1" applyAlignment="1" applyProtection="1">
      <alignment vertical="center"/>
    </xf>
    <xf numFmtId="0" fontId="34" fillId="0" borderId="0" xfId="0" applyFont="1" applyFill="1" applyProtection="1">
      <protection locked="0"/>
    </xf>
    <xf numFmtId="0" fontId="32" fillId="0" borderId="13" xfId="0" applyFont="1" applyFill="1" applyBorder="1" applyAlignment="1" applyProtection="1">
      <alignment horizontal="center" vertical="center"/>
      <protection locked="0"/>
    </xf>
    <xf numFmtId="0" fontId="35" fillId="0" borderId="14" xfId="0" applyFont="1" applyFill="1" applyBorder="1" applyAlignment="1" applyProtection="1">
      <alignment horizontal="center" vertical="center"/>
    </xf>
    <xf numFmtId="10" fontId="37" fillId="0" borderId="6" xfId="2" applyNumberFormat="1" applyFont="1" applyFill="1" applyBorder="1" applyAlignment="1" applyProtection="1">
      <alignment horizontal="center" vertical="center"/>
    </xf>
    <xf numFmtId="165" fontId="37" fillId="0" borderId="1" xfId="3" applyFont="1" applyFill="1" applyBorder="1" applyAlignment="1" applyProtection="1">
      <alignment vertical="center"/>
    </xf>
    <xf numFmtId="0" fontId="32" fillId="0" borderId="9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/>
    </xf>
    <xf numFmtId="166" fontId="34" fillId="0" borderId="10" xfId="2" applyNumberFormat="1" applyFont="1" applyFill="1" applyBorder="1" applyAlignment="1" applyProtection="1">
      <alignment horizontal="center" vertical="center"/>
    </xf>
    <xf numFmtId="165" fontId="37" fillId="0" borderId="3" xfId="3" applyFont="1" applyFill="1" applyBorder="1" applyAlignment="1" applyProtection="1">
      <alignment vertical="center"/>
    </xf>
    <xf numFmtId="0" fontId="34" fillId="0" borderId="13" xfId="0" applyFont="1" applyFill="1" applyBorder="1" applyAlignment="1" applyProtection="1">
      <alignment horizontal="left" vertical="center"/>
      <protection locked="0"/>
    </xf>
    <xf numFmtId="14" fontId="8" fillId="0" borderId="1" xfId="0" applyNumberFormat="1" applyFont="1" applyBorder="1" applyAlignment="1">
      <alignment horizontal="left" vertical="center"/>
    </xf>
    <xf numFmtId="20" fontId="8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</xf>
    <xf numFmtId="9" fontId="8" fillId="0" borderId="3" xfId="2" applyFont="1" applyFill="1" applyBorder="1" applyAlignment="1" applyProtection="1">
      <alignment horizontal="left" vertical="center"/>
    </xf>
    <xf numFmtId="10" fontId="8" fillId="0" borderId="3" xfId="0" applyNumberFormat="1" applyFont="1" applyFill="1" applyBorder="1" applyAlignment="1" applyProtection="1">
      <alignment horizontal="center" vertical="center" wrapText="1"/>
    </xf>
    <xf numFmtId="10" fontId="7" fillId="0" borderId="3" xfId="0" applyNumberFormat="1" applyFont="1" applyFill="1" applyBorder="1" applyAlignment="1" applyProtection="1">
      <alignment horizontal="center" vertical="center"/>
    </xf>
    <xf numFmtId="10" fontId="7" fillId="0" borderId="0" xfId="2" applyNumberFormat="1" applyFont="1" applyFill="1" applyProtection="1">
      <protection locked="0"/>
    </xf>
    <xf numFmtId="168" fontId="7" fillId="0" borderId="0" xfId="0" applyNumberFormat="1" applyFont="1" applyFill="1" applyProtection="1">
      <protection locked="0"/>
    </xf>
    <xf numFmtId="10" fontId="6" fillId="0" borderId="1" xfId="2" applyNumberFormat="1" applyFont="1" applyFill="1" applyBorder="1" applyAlignment="1" applyProtection="1">
      <alignment horizontal="center" vertical="center" wrapText="1"/>
    </xf>
    <xf numFmtId="10" fontId="8" fillId="2" borderId="3" xfId="2" applyNumberFormat="1" applyFont="1" applyFill="1" applyBorder="1" applyAlignment="1" applyProtection="1">
      <alignment horizontal="center" vertical="center"/>
    </xf>
    <xf numFmtId="2" fontId="8" fillId="2" borderId="3" xfId="3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wrapText="1"/>
      <protection locked="0"/>
    </xf>
    <xf numFmtId="0" fontId="41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8" fillId="0" borderId="11" xfId="0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left" wrapText="1"/>
      <protection locked="0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0" fontId="6" fillId="2" borderId="8" xfId="2" applyNumberFormat="1" applyFont="1" applyFill="1" applyBorder="1" applyAlignment="1" applyProtection="1">
      <alignment horizontal="center" vertical="center"/>
    </xf>
    <xf numFmtId="0" fontId="40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41" fillId="4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165" fontId="43" fillId="0" borderId="0" xfId="3" applyFont="1" applyFill="1" applyBorder="1" applyAlignment="1" applyProtection="1">
      <alignment horizontal="left" vertical="center"/>
    </xf>
    <xf numFmtId="10" fontId="45" fillId="0" borderId="0" xfId="2" applyNumberFormat="1" applyFont="1" applyFill="1" applyBorder="1" applyAlignment="1" applyProtection="1">
      <alignment horizontal="left" vertical="center"/>
    </xf>
    <xf numFmtId="10" fontId="46" fillId="0" borderId="0" xfId="2" applyNumberFormat="1" applyFont="1" applyFill="1" applyBorder="1" applyAlignment="1" applyProtection="1">
      <alignment horizontal="left" vertical="center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vertical="center"/>
    </xf>
    <xf numFmtId="10" fontId="45" fillId="0" borderId="15" xfId="2" applyNumberFormat="1" applyFont="1" applyFill="1" applyBorder="1" applyAlignment="1" applyProtection="1">
      <alignment horizontal="left" vertical="center"/>
    </xf>
    <xf numFmtId="0" fontId="45" fillId="0" borderId="0" xfId="2" applyNumberFormat="1" applyFont="1" applyFill="1" applyBorder="1" applyAlignment="1" applyProtection="1">
      <alignment horizontal="left" vertical="center"/>
    </xf>
    <xf numFmtId="0" fontId="35" fillId="0" borderId="1" xfId="0" applyFont="1" applyFill="1" applyBorder="1" applyAlignment="1" applyProtection="1">
      <alignment horizontal="center" vertical="center" wrapText="1"/>
    </xf>
    <xf numFmtId="0" fontId="8" fillId="0" borderId="3" xfId="3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6" fillId="0" borderId="4" xfId="3" applyNumberFormat="1" applyFont="1" applyFill="1" applyBorder="1" applyAlignment="1" applyProtection="1">
      <alignment horizontal="center" vertical="center"/>
    </xf>
    <xf numFmtId="0" fontId="16" fillId="0" borderId="0" xfId="0" applyFont="1" applyFill="1" applyProtection="1">
      <protection locked="0"/>
    </xf>
    <xf numFmtId="0" fontId="5" fillId="2" borderId="3" xfId="3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169" fontId="7" fillId="0" borderId="10" xfId="2" applyNumberFormat="1" applyFont="1" applyFill="1" applyBorder="1" applyAlignment="1" applyProtection="1">
      <alignment horizontal="center" vertical="center"/>
    </xf>
    <xf numFmtId="169" fontId="7" fillId="0" borderId="12" xfId="2" applyNumberFormat="1" applyFont="1" applyFill="1" applyBorder="1" applyAlignment="1" applyProtection="1">
      <alignment horizontal="center" vertical="center"/>
    </xf>
    <xf numFmtId="0" fontId="47" fillId="0" borderId="0" xfId="7" applyFill="1" applyProtection="1">
      <protection locked="0"/>
    </xf>
    <xf numFmtId="10" fontId="8" fillId="0" borderId="4" xfId="2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170" fontId="7" fillId="0" borderId="0" xfId="2" applyNumberFormat="1" applyFont="1" applyFill="1" applyProtection="1"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165" fontId="30" fillId="0" borderId="5" xfId="3" applyFont="1" applyFill="1" applyBorder="1" applyAlignment="1" applyProtection="1">
      <alignment horizontal="left" vertical="center"/>
    </xf>
    <xf numFmtId="165" fontId="26" fillId="0" borderId="5" xfId="3" applyFont="1" applyFill="1" applyBorder="1" applyAlignment="1" applyProtection="1">
      <alignment horizontal="center" vertical="center"/>
    </xf>
    <xf numFmtId="9" fontId="26" fillId="0" borderId="5" xfId="2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6" fillId="0" borderId="8" xfId="3" applyNumberFormat="1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3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165" fontId="9" fillId="0" borderId="8" xfId="0" applyNumberFormat="1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165" fontId="9" fillId="0" borderId="10" xfId="0" applyNumberFormat="1" applyFont="1" applyFill="1" applyBorder="1" applyAlignment="1" applyProtection="1">
      <alignment vertical="center"/>
    </xf>
    <xf numFmtId="10" fontId="7" fillId="0" borderId="8" xfId="2" applyNumberFormat="1" applyFont="1" applyFill="1" applyBorder="1" applyAlignment="1" applyProtection="1">
      <alignment horizontal="right" vertical="center"/>
    </xf>
    <xf numFmtId="10" fontId="7" fillId="0" borderId="10" xfId="2" applyNumberFormat="1" applyFont="1" applyFill="1" applyBorder="1" applyAlignment="1" applyProtection="1">
      <alignment horizontal="right" vertical="center"/>
    </xf>
    <xf numFmtId="10" fontId="7" fillId="0" borderId="12" xfId="2" applyNumberFormat="1" applyFont="1" applyFill="1" applyBorder="1" applyAlignment="1" applyProtection="1">
      <alignment horizontal="right" vertical="center"/>
    </xf>
    <xf numFmtId="10" fontId="9" fillId="0" borderId="8" xfId="2" applyNumberFormat="1" applyFont="1" applyFill="1" applyBorder="1" applyAlignment="1" applyProtection="1">
      <alignment horizontal="right" vertical="center"/>
    </xf>
    <xf numFmtId="0" fontId="45" fillId="0" borderId="5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center"/>
    </xf>
    <xf numFmtId="9" fontId="6" fillId="2" borderId="11" xfId="2" applyFont="1" applyFill="1" applyBorder="1" applyAlignment="1" applyProtection="1">
      <alignment horizontal="center" vertical="center"/>
    </xf>
    <xf numFmtId="10" fontId="6" fillId="2" borderId="12" xfId="2" applyNumberFormat="1" applyFont="1" applyFill="1" applyBorder="1" applyAlignment="1" applyProtection="1">
      <alignment horizontal="center" vertical="center"/>
    </xf>
    <xf numFmtId="170" fontId="6" fillId="0" borderId="2" xfId="2" applyNumberFormat="1" applyFont="1" applyFill="1" applyBorder="1" applyAlignment="1" applyProtection="1">
      <alignment horizontal="center" vertical="center" wrapText="1"/>
    </xf>
    <xf numFmtId="170" fontId="8" fillId="0" borderId="3" xfId="2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10" fontId="33" fillId="0" borderId="20" xfId="2" applyNumberFormat="1" applyFont="1" applyFill="1" applyBorder="1" applyAlignment="1" applyProtection="1">
      <alignment horizontal="left" vertical="center"/>
    </xf>
    <xf numFmtId="0" fontId="33" fillId="0" borderId="19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wrapText="1"/>
      <protection locked="0"/>
    </xf>
    <xf numFmtId="43" fontId="48" fillId="0" borderId="0" xfId="0" applyNumberFormat="1" applyFont="1" applyFill="1" applyProtection="1"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166" fontId="37" fillId="0" borderId="24" xfId="2" applyNumberFormat="1" applyFont="1" applyFill="1" applyBorder="1" applyAlignment="1" applyProtection="1">
      <alignment horizontal="center" vertical="center"/>
    </xf>
    <xf numFmtId="165" fontId="35" fillId="0" borderId="21" xfId="3" applyFont="1" applyFill="1" applyBorder="1" applyAlignment="1" applyProtection="1">
      <alignment vertical="center"/>
    </xf>
    <xf numFmtId="165" fontId="6" fillId="0" borderId="21" xfId="3" applyFont="1" applyFill="1" applyBorder="1" applyAlignment="1" applyProtection="1">
      <alignment vertical="center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8" fillId="0" borderId="27" xfId="0" applyFont="1" applyFill="1" applyBorder="1" applyAlignment="1" applyProtection="1">
      <alignment horizontal="left" vertical="center" wrapText="1"/>
    </xf>
    <xf numFmtId="166" fontId="7" fillId="0" borderId="28" xfId="2" applyNumberFormat="1" applyFont="1" applyFill="1" applyBorder="1" applyAlignment="1" applyProtection="1">
      <alignment horizontal="center" vertical="center"/>
    </xf>
    <xf numFmtId="165" fontId="6" fillId="0" borderId="25" xfId="3" applyFont="1" applyFill="1" applyBorder="1" applyAlignment="1" applyProtection="1">
      <alignment vertical="center"/>
    </xf>
    <xf numFmtId="166" fontId="9" fillId="2" borderId="24" xfId="2" applyNumberFormat="1" applyFont="1" applyFill="1" applyBorder="1" applyAlignment="1" applyProtection="1">
      <alignment horizontal="center" vertical="center"/>
    </xf>
    <xf numFmtId="0" fontId="35" fillId="0" borderId="21" xfId="0" applyFont="1" applyFill="1" applyBorder="1" applyAlignment="1" applyProtection="1">
      <alignment horizontal="center" vertical="center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41" fillId="4" borderId="1" xfId="0" applyFont="1" applyFill="1" applyBorder="1" applyAlignment="1">
      <alignment vertical="center" wrapText="1"/>
    </xf>
    <xf numFmtId="0" fontId="40" fillId="2" borderId="1" xfId="0" applyFont="1" applyFill="1" applyBorder="1" applyAlignment="1">
      <alignment vertical="center" wrapText="1"/>
    </xf>
    <xf numFmtId="0" fontId="7" fillId="0" borderId="0" xfId="0" quotePrefix="1" applyFont="1" applyFill="1" applyProtection="1">
      <protection locked="0"/>
    </xf>
    <xf numFmtId="0" fontId="48" fillId="0" borderId="0" xfId="0" quotePrefix="1" applyFont="1" applyFill="1" applyAlignment="1" applyProtection="1">
      <alignment vertical="center"/>
      <protection locked="0"/>
    </xf>
    <xf numFmtId="0" fontId="41" fillId="4" borderId="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165" fontId="8" fillId="0" borderId="16" xfId="3" applyFont="1" applyFill="1" applyBorder="1" applyAlignment="1" applyProtection="1">
      <alignment horizontal="right" vertical="center"/>
    </xf>
    <xf numFmtId="0" fontId="51" fillId="0" borderId="3" xfId="0" applyFont="1" applyFill="1" applyBorder="1" applyAlignment="1" applyProtection="1">
      <alignment horizontal="center" vertical="center"/>
      <protection locked="0"/>
    </xf>
    <xf numFmtId="0" fontId="51" fillId="2" borderId="10" xfId="0" applyFont="1" applyFill="1" applyBorder="1" applyAlignment="1" applyProtection="1">
      <alignment horizontal="center" vertical="center" wrapText="1"/>
    </xf>
    <xf numFmtId="10" fontId="51" fillId="0" borderId="3" xfId="0" applyNumberFormat="1" applyFont="1" applyFill="1" applyBorder="1" applyAlignment="1" applyProtection="1">
      <alignment horizontal="center" vertical="center"/>
    </xf>
    <xf numFmtId="165" fontId="51" fillId="0" borderId="3" xfId="3" applyFont="1" applyFill="1" applyBorder="1" applyAlignment="1" applyProtection="1">
      <alignment vertical="center"/>
    </xf>
    <xf numFmtId="0" fontId="51" fillId="0" borderId="4" xfId="0" applyFont="1" applyFill="1" applyBorder="1" applyAlignment="1" applyProtection="1">
      <alignment horizontal="center" vertical="center"/>
      <protection locked="0"/>
    </xf>
    <xf numFmtId="0" fontId="51" fillId="2" borderId="12" xfId="0" applyFont="1" applyFill="1" applyBorder="1" applyAlignment="1" applyProtection="1">
      <alignment horizontal="center" vertical="center" wrapText="1"/>
    </xf>
    <xf numFmtId="10" fontId="51" fillId="0" borderId="4" xfId="0" applyNumberFormat="1" applyFont="1" applyFill="1" applyBorder="1" applyAlignment="1" applyProtection="1">
      <alignment horizontal="center" vertical="center"/>
    </xf>
    <xf numFmtId="10" fontId="51" fillId="0" borderId="12" xfId="2" applyNumberFormat="1" applyFont="1" applyFill="1" applyBorder="1" applyAlignment="1" applyProtection="1">
      <alignment horizontal="center" vertical="center"/>
    </xf>
    <xf numFmtId="165" fontId="51" fillId="0" borderId="4" xfId="3" applyFont="1" applyFill="1" applyBorder="1" applyAlignment="1" applyProtection="1">
      <alignment vertical="center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10" fontId="26" fillId="0" borderId="14" xfId="0" applyNumberFormat="1" applyFont="1" applyFill="1" applyBorder="1" applyAlignment="1" applyProtection="1">
      <alignment horizontal="center" vertical="center"/>
    </xf>
    <xf numFmtId="10" fontId="26" fillId="0" borderId="6" xfId="2" applyNumberFormat="1" applyFont="1" applyFill="1" applyBorder="1" applyAlignment="1" applyProtection="1">
      <alignment horizontal="center" vertical="center"/>
    </xf>
    <xf numFmtId="165" fontId="7" fillId="0" borderId="1" xfId="3" applyFont="1" applyFill="1" applyBorder="1" applyAlignment="1" applyProtection="1">
      <alignment vertical="center"/>
    </xf>
    <xf numFmtId="0" fontId="49" fillId="0" borderId="13" xfId="0" applyFont="1" applyFill="1" applyBorder="1" applyAlignment="1" applyProtection="1">
      <alignment horizontal="left" vertical="center" wrapText="1"/>
    </xf>
    <xf numFmtId="0" fontId="49" fillId="0" borderId="1" xfId="3" applyNumberFormat="1" applyFont="1" applyFill="1" applyBorder="1" applyAlignment="1" applyProtection="1">
      <alignment horizontal="center" vertical="center"/>
    </xf>
    <xf numFmtId="164" fontId="49" fillId="0" borderId="1" xfId="5" applyFont="1" applyFill="1" applyBorder="1" applyAlignment="1" applyProtection="1">
      <alignment horizontal="center" vertical="center"/>
    </xf>
    <xf numFmtId="10" fontId="7" fillId="0" borderId="3" xfId="2" applyNumberFormat="1" applyFont="1" applyFill="1" applyBorder="1" applyAlignment="1" applyProtection="1">
      <alignment horizontal="center" vertical="center"/>
    </xf>
    <xf numFmtId="10" fontId="51" fillId="0" borderId="3" xfId="2" applyNumberFormat="1" applyFont="1" applyFill="1" applyBorder="1" applyAlignment="1" applyProtection="1">
      <alignment horizontal="center" vertical="center"/>
    </xf>
    <xf numFmtId="10" fontId="7" fillId="2" borderId="3" xfId="2" applyNumberFormat="1" applyFont="1" applyFill="1" applyBorder="1" applyAlignment="1" applyProtection="1">
      <alignment horizontal="center" vertical="center"/>
    </xf>
    <xf numFmtId="169" fontId="6" fillId="0" borderId="3" xfId="2" applyNumberFormat="1" applyFont="1" applyFill="1" applyBorder="1" applyAlignment="1" applyProtection="1">
      <alignment horizontal="center" vertical="center" wrapText="1"/>
    </xf>
    <xf numFmtId="165" fontId="7" fillId="0" borderId="3" xfId="3" applyNumberFormat="1" applyFont="1" applyFill="1" applyBorder="1" applyAlignment="1" applyProtection="1">
      <alignment vertical="center"/>
    </xf>
    <xf numFmtId="171" fontId="7" fillId="0" borderId="0" xfId="0" applyNumberFormat="1" applyFont="1" applyFill="1" applyProtection="1">
      <protection locked="0"/>
    </xf>
    <xf numFmtId="165" fontId="6" fillId="0" borderId="4" xfId="3" applyFont="1" applyFill="1" applyBorder="1" applyAlignment="1" applyProtection="1">
      <alignment horizontal="center" vertical="center" wrapText="1"/>
    </xf>
    <xf numFmtId="165" fontId="35" fillId="0" borderId="1" xfId="3" applyFont="1" applyFill="1" applyBorder="1" applyAlignment="1" applyProtection="1">
      <alignment horizontal="center" vertical="center" wrapText="1"/>
    </xf>
    <xf numFmtId="172" fontId="7" fillId="0" borderId="0" xfId="0" applyNumberFormat="1" applyFont="1" applyFill="1" applyAlignment="1" applyProtection="1">
      <alignment vertical="center"/>
      <protection locked="0"/>
    </xf>
    <xf numFmtId="173" fontId="44" fillId="0" borderId="0" xfId="0" applyNumberFormat="1" applyFont="1" applyFill="1" applyAlignment="1" applyProtection="1">
      <alignment vertical="center"/>
      <protection locked="0"/>
    </xf>
    <xf numFmtId="0" fontId="0" fillId="0" borderId="15" xfId="0" applyBorder="1"/>
    <xf numFmtId="0" fontId="0" fillId="0" borderId="11" xfId="0" applyBorder="1"/>
    <xf numFmtId="0" fontId="0" fillId="0" borderId="9" xfId="0" applyBorder="1"/>
    <xf numFmtId="0" fontId="54" fillId="0" borderId="0" xfId="0" applyFont="1" applyAlignment="1">
      <alignment vertical="center"/>
    </xf>
    <xf numFmtId="174" fontId="0" fillId="0" borderId="0" xfId="0" applyNumberFormat="1"/>
    <xf numFmtId="172" fontId="0" fillId="0" borderId="0" xfId="0" applyNumberFormat="1"/>
    <xf numFmtId="0" fontId="8" fillId="0" borderId="29" xfId="0" applyFont="1" applyFill="1" applyBorder="1" applyAlignment="1" applyProtection="1">
      <alignment horizontal="center" vertical="center"/>
      <protection locked="0"/>
    </xf>
    <xf numFmtId="166" fontId="7" fillId="0" borderId="32" xfId="2" applyNumberFormat="1" applyFont="1" applyFill="1" applyBorder="1" applyAlignment="1" applyProtection="1">
      <alignment horizontal="center" vertical="center"/>
    </xf>
    <xf numFmtId="165" fontId="6" fillId="0" borderId="29" xfId="3" applyFont="1" applyFill="1" applyBorder="1" applyAlignment="1" applyProtection="1">
      <alignment vertical="center"/>
    </xf>
    <xf numFmtId="0" fontId="8" fillId="0" borderId="22" xfId="0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>
      <alignment vertical="center"/>
    </xf>
    <xf numFmtId="0" fontId="30" fillId="0" borderId="23" xfId="0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>
      <alignment vertical="center" wrapText="1"/>
    </xf>
    <xf numFmtId="166" fontId="7" fillId="2" borderId="24" xfId="2" applyNumberFormat="1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/>
      <protection locked="0"/>
    </xf>
    <xf numFmtId="165" fontId="7" fillId="2" borderId="24" xfId="3" applyFont="1" applyFill="1" applyBorder="1" applyAlignment="1" applyProtection="1">
      <alignment horizontal="center" vertical="center"/>
    </xf>
    <xf numFmtId="165" fontId="26" fillId="0" borderId="21" xfId="3" applyFont="1" applyFill="1" applyBorder="1" applyAlignment="1" applyProtection="1">
      <alignment vertical="center"/>
    </xf>
    <xf numFmtId="0" fontId="30" fillId="0" borderId="23" xfId="0" applyFont="1" applyFill="1" applyBorder="1" applyAlignment="1" applyProtection="1">
      <alignment horizontal="center" vertical="center"/>
    </xf>
    <xf numFmtId="0" fontId="35" fillId="3" borderId="23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43" fontId="30" fillId="0" borderId="23" xfId="0" applyNumberFormat="1" applyFont="1" applyFill="1" applyBorder="1" applyAlignment="1" applyProtection="1">
      <alignment vertical="center"/>
    </xf>
    <xf numFmtId="165" fontId="7" fillId="0" borderId="24" xfId="3" applyFont="1" applyFill="1" applyBorder="1" applyAlignment="1" applyProtection="1">
      <alignment horizontal="right" vertical="center"/>
    </xf>
    <xf numFmtId="9" fontId="9" fillId="2" borderId="23" xfId="0" quotePrefix="1" applyNumberFormat="1" applyFont="1" applyFill="1" applyBorder="1" applyAlignment="1" applyProtection="1">
      <alignment horizontal="center" vertical="center"/>
      <protection locked="0"/>
    </xf>
    <xf numFmtId="165" fontId="7" fillId="0" borderId="0" xfId="0" applyNumberFormat="1" applyFont="1" applyFill="1" applyAlignment="1" applyProtection="1">
      <alignment vertical="center" wrapText="1"/>
      <protection locked="0"/>
    </xf>
    <xf numFmtId="0" fontId="30" fillId="0" borderId="23" xfId="0" applyFont="1" applyFill="1" applyBorder="1" applyAlignment="1" applyProtection="1">
      <alignment horizontal="right" vertical="center" wrapText="1"/>
    </xf>
    <xf numFmtId="0" fontId="33" fillId="0" borderId="34" xfId="0" applyFont="1" applyFill="1" applyBorder="1" applyAlignment="1" applyProtection="1">
      <alignment horizontal="center" vertical="center"/>
    </xf>
    <xf numFmtId="0" fontId="33" fillId="0" borderId="5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10" fontId="8" fillId="0" borderId="2" xfId="2" applyNumberFormat="1" applyFont="1" applyFill="1" applyBorder="1" applyAlignment="1" applyProtection="1">
      <alignment horizontal="center" vertical="center" wrapText="1"/>
    </xf>
    <xf numFmtId="10" fontId="8" fillId="0" borderId="3" xfId="2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0" fontId="8" fillId="2" borderId="3" xfId="2" applyNumberFormat="1" applyFont="1" applyFill="1" applyBorder="1" applyAlignment="1" applyProtection="1">
      <alignment horizontal="center" vertical="center" wrapText="1"/>
    </xf>
    <xf numFmtId="165" fontId="7" fillId="0" borderId="2" xfId="3" applyFont="1" applyFill="1" applyBorder="1" applyAlignment="1" applyProtection="1">
      <alignment horizontal="center" vertical="center" wrapText="1"/>
    </xf>
    <xf numFmtId="0" fontId="35" fillId="0" borderId="1" xfId="0" applyFont="1" applyFill="1" applyBorder="1" applyAlignment="1" applyProtection="1">
      <alignment horizontal="center" vertical="center"/>
    </xf>
    <xf numFmtId="166" fontId="35" fillId="0" borderId="2" xfId="2" applyNumberFormat="1" applyFont="1" applyFill="1" applyBorder="1" applyAlignment="1" applyProtection="1">
      <alignment horizontal="center" vertical="center"/>
    </xf>
    <xf numFmtId="166" fontId="35" fillId="0" borderId="3" xfId="2" applyNumberFormat="1" applyFont="1" applyFill="1" applyBorder="1" applyAlignment="1" applyProtection="1">
      <alignment horizontal="center" vertical="center"/>
    </xf>
    <xf numFmtId="166" fontId="35" fillId="0" borderId="4" xfId="2" applyNumberFormat="1" applyFont="1" applyFill="1" applyBorder="1" applyAlignment="1" applyProtection="1">
      <alignment horizontal="center" vertical="center"/>
    </xf>
    <xf numFmtId="165" fontId="35" fillId="0" borderId="1" xfId="3" applyFont="1" applyFill="1" applyBorder="1" applyAlignment="1" applyProtection="1">
      <alignment vertical="center"/>
    </xf>
    <xf numFmtId="0" fontId="34" fillId="0" borderId="6" xfId="0" applyFont="1" applyFill="1" applyBorder="1" applyAlignment="1" applyProtection="1">
      <alignment horizontal="left" vertical="center"/>
      <protection locked="0"/>
    </xf>
    <xf numFmtId="10" fontId="37" fillId="0" borderId="12" xfId="2" applyNumberFormat="1" applyFont="1" applyFill="1" applyBorder="1" applyAlignment="1" applyProtection="1">
      <alignment horizontal="center" vertical="center"/>
    </xf>
    <xf numFmtId="43" fontId="7" fillId="0" borderId="0" xfId="0" applyNumberFormat="1" applyFont="1" applyFill="1" applyAlignment="1" applyProtection="1">
      <protection locked="0"/>
    </xf>
    <xf numFmtId="10" fontId="7" fillId="0" borderId="0" xfId="2" applyNumberFormat="1" applyFont="1" applyFill="1" applyAlignment="1" applyProtection="1">
      <alignment horizontal="center" vertical="center"/>
      <protection locked="0"/>
    </xf>
    <xf numFmtId="0" fontId="41" fillId="4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left" vertical="center"/>
    </xf>
    <xf numFmtId="165" fontId="48" fillId="2" borderId="3" xfId="3" applyFont="1" applyFill="1" applyBorder="1" applyAlignment="1" applyProtection="1">
      <alignment vertical="center"/>
    </xf>
    <xf numFmtId="0" fontId="26" fillId="2" borderId="1" xfId="3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left" vertical="center"/>
    </xf>
    <xf numFmtId="0" fontId="41" fillId="4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 applyProtection="1">
      <alignment horizontal="center" vertical="center" wrapText="1"/>
    </xf>
    <xf numFmtId="165" fontId="9" fillId="0" borderId="29" xfId="3" applyFont="1" applyFill="1" applyBorder="1" applyAlignment="1" applyProtection="1">
      <alignment vertical="center"/>
    </xf>
    <xf numFmtId="0" fontId="17" fillId="0" borderId="22" xfId="0" applyFont="1" applyFill="1" applyBorder="1" applyAlignment="1" applyProtection="1">
      <alignment horizontal="left" vertical="center"/>
    </xf>
    <xf numFmtId="0" fontId="8" fillId="0" borderId="23" xfId="0" applyFont="1" applyFill="1" applyBorder="1" applyAlignment="1" applyProtection="1">
      <alignment horizontal="left" vertical="center"/>
    </xf>
    <xf numFmtId="166" fontId="32" fillId="0" borderId="21" xfId="2" applyNumberFormat="1" applyFont="1" applyFill="1" applyBorder="1" applyAlignment="1" applyProtection="1">
      <alignment horizontal="center" vertical="center"/>
    </xf>
    <xf numFmtId="165" fontId="9" fillId="0" borderId="21" xfId="3" applyFont="1" applyFill="1" applyBorder="1" applyAlignment="1" applyProtection="1">
      <alignment vertical="center"/>
    </xf>
    <xf numFmtId="0" fontId="17" fillId="0" borderId="22" xfId="0" applyFont="1" applyFill="1" applyBorder="1" applyAlignment="1" applyProtection="1">
      <alignment horizontal="left" vertical="center" wrapText="1"/>
    </xf>
    <xf numFmtId="165" fontId="9" fillId="0" borderId="21" xfId="3" applyNumberFormat="1" applyFont="1" applyFill="1" applyBorder="1" applyAlignment="1" applyProtection="1">
      <alignment vertical="center"/>
    </xf>
    <xf numFmtId="0" fontId="17" fillId="0" borderId="26" xfId="0" applyFont="1" applyFill="1" applyBorder="1" applyAlignment="1" applyProtection="1">
      <alignment horizontal="left" vertical="center"/>
    </xf>
    <xf numFmtId="0" fontId="8" fillId="0" borderId="27" xfId="0" applyFont="1" applyFill="1" applyBorder="1" applyAlignment="1" applyProtection="1">
      <alignment horizontal="left" vertical="center"/>
    </xf>
    <xf numFmtId="166" fontId="32" fillId="0" borderId="25" xfId="2" applyNumberFormat="1" applyFont="1" applyFill="1" applyBorder="1" applyAlignment="1" applyProtection="1">
      <alignment horizontal="center" vertical="center"/>
    </xf>
    <xf numFmtId="165" fontId="9" fillId="0" borderId="25" xfId="3" applyFont="1" applyFill="1" applyBorder="1" applyAlignment="1" applyProtection="1">
      <alignment vertical="center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horizontal="left" vertical="center"/>
    </xf>
    <xf numFmtId="0" fontId="8" fillId="0" borderId="0" xfId="0" applyFont="1"/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165" fontId="8" fillId="0" borderId="1" xfId="3" applyFont="1" applyBorder="1" applyAlignment="1">
      <alignment horizontal="center" vertical="center" wrapText="1"/>
    </xf>
    <xf numFmtId="0" fontId="59" fillId="3" borderId="1" xfId="0" applyFont="1" applyFill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165" fontId="8" fillId="0" borderId="2" xfId="3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0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59" fillId="0" borderId="14" xfId="0" applyFont="1" applyBorder="1" applyAlignment="1">
      <alignment horizontal="center" vertical="center" wrapText="1"/>
    </xf>
    <xf numFmtId="165" fontId="6" fillId="0" borderId="14" xfId="3" applyFont="1" applyBorder="1" applyAlignment="1">
      <alignment horizontal="center" vertical="center" wrapText="1"/>
    </xf>
    <xf numFmtId="43" fontId="6" fillId="0" borderId="6" xfId="0" applyNumberFormat="1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175" fontId="9" fillId="2" borderId="3" xfId="3" applyNumberFormat="1" applyFont="1" applyFill="1" applyBorder="1" applyAlignment="1" applyProtection="1">
      <alignment vertical="center"/>
    </xf>
    <xf numFmtId="0" fontId="30" fillId="0" borderId="5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wrapText="1"/>
      <protection locked="0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30" fillId="0" borderId="7" xfId="0" applyFont="1" applyFill="1" applyBorder="1" applyAlignment="1" applyProtection="1">
      <alignment horizontal="left" vertical="center" wrapText="1"/>
      <protection locked="0"/>
    </xf>
    <xf numFmtId="0" fontId="30" fillId="0" borderId="8" xfId="0" applyFont="1" applyFill="1" applyBorder="1" applyAlignment="1" applyProtection="1">
      <alignment horizontal="left" vertical="center" wrapText="1"/>
      <protection locked="0"/>
    </xf>
    <xf numFmtId="0" fontId="30" fillId="0" borderId="11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horizontal="left" vertical="top" wrapText="1"/>
      <protection locked="0"/>
    </xf>
    <xf numFmtId="0" fontId="30" fillId="0" borderId="12" xfId="0" applyFont="1" applyFill="1" applyBorder="1" applyAlignment="1" applyProtection="1">
      <alignment horizontal="left" vertical="top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30" fillId="0" borderId="5" xfId="0" applyFont="1" applyFill="1" applyBorder="1" applyAlignment="1" applyProtection="1">
      <alignment horizontal="left" wrapText="1"/>
      <protection locked="0"/>
    </xf>
    <xf numFmtId="0" fontId="30" fillId="0" borderId="11" xfId="0" applyFont="1" applyFill="1" applyBorder="1" applyAlignment="1" applyProtection="1">
      <alignment horizontal="left" vertical="center" wrapText="1"/>
      <protection locked="0"/>
    </xf>
    <xf numFmtId="0" fontId="30" fillId="0" borderId="15" xfId="0" applyFont="1" applyFill="1" applyBorder="1" applyAlignment="1" applyProtection="1">
      <alignment horizontal="left" vertical="center" wrapText="1"/>
      <protection locked="0"/>
    </xf>
    <xf numFmtId="0" fontId="30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0" fillId="0" borderId="13" xfId="0" applyFont="1" applyFill="1" applyBorder="1" applyAlignment="1" applyProtection="1">
      <alignment horizontal="left" vertical="center" wrapText="1"/>
      <protection locked="0"/>
    </xf>
    <xf numFmtId="0" fontId="30" fillId="0" borderId="14" xfId="0" applyFont="1" applyFill="1" applyBorder="1" applyAlignment="1" applyProtection="1">
      <alignment horizontal="left" vertical="center" wrapText="1"/>
      <protection locked="0"/>
    </xf>
    <xf numFmtId="0" fontId="30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30" fillId="0" borderId="7" xfId="0" applyFont="1" applyFill="1" applyBorder="1" applyAlignment="1" applyProtection="1">
      <alignment horizontal="left" wrapText="1"/>
      <protection locked="0"/>
    </xf>
    <xf numFmtId="0" fontId="30" fillId="0" borderId="8" xfId="0" applyFont="1" applyFill="1" applyBorder="1" applyAlignment="1" applyProtection="1">
      <alignment horizontal="left" wrapText="1"/>
      <protection locked="0"/>
    </xf>
    <xf numFmtId="0" fontId="17" fillId="0" borderId="11" xfId="0" applyFont="1" applyFill="1" applyBorder="1" applyAlignment="1" applyProtection="1">
      <alignment wrapText="1"/>
      <protection locked="0"/>
    </xf>
    <xf numFmtId="0" fontId="17" fillId="0" borderId="15" xfId="0" applyFont="1" applyFill="1" applyBorder="1" applyAlignment="1" applyProtection="1">
      <alignment wrapText="1"/>
      <protection locked="0"/>
    </xf>
    <xf numFmtId="0" fontId="17" fillId="0" borderId="12" xfId="0" applyFont="1" applyFill="1" applyBorder="1" applyAlignment="1" applyProtection="1">
      <alignment wrapText="1"/>
      <protection locked="0"/>
    </xf>
    <xf numFmtId="0" fontId="19" fillId="0" borderId="14" xfId="0" applyFont="1" applyFill="1" applyBorder="1" applyAlignment="1" applyProtection="1">
      <alignment horizontal="justify" vertical="center" wrapText="1"/>
    </xf>
    <xf numFmtId="0" fontId="32" fillId="0" borderId="13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6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wrapText="1"/>
    </xf>
    <xf numFmtId="0" fontId="35" fillId="0" borderId="9" xfId="0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32" fillId="0" borderId="1" xfId="0" applyFont="1" applyFill="1" applyBorder="1" applyAlignment="1" applyProtection="1">
      <alignment horizontal="left" vertical="center"/>
    </xf>
    <xf numFmtId="0" fontId="32" fillId="0" borderId="2" xfId="0" applyFont="1" applyFill="1" applyBorder="1" applyAlignment="1" applyProtection="1">
      <alignment horizontal="left" vertical="center"/>
    </xf>
    <xf numFmtId="0" fontId="32" fillId="0" borderId="2" xfId="0" applyFont="1" applyFill="1" applyBorder="1" applyAlignment="1" applyProtection="1">
      <alignment horizontal="center" vertical="center"/>
      <protection locked="0"/>
    </xf>
    <xf numFmtId="0" fontId="32" fillId="0" borderId="4" xfId="0" applyFont="1" applyFill="1" applyBorder="1" applyAlignment="1" applyProtection="1">
      <alignment horizontal="center" vertical="center"/>
      <protection locked="0"/>
    </xf>
    <xf numFmtId="0" fontId="33" fillId="0" borderId="13" xfId="0" applyFont="1" applyFill="1" applyBorder="1" applyAlignment="1" applyProtection="1">
      <alignment horizontal="center" vertical="center"/>
    </xf>
    <xf numFmtId="0" fontId="33" fillId="0" borderId="6" xfId="0" applyFont="1" applyFill="1" applyBorder="1" applyAlignment="1" applyProtection="1">
      <alignment horizontal="center" vertical="center"/>
    </xf>
    <xf numFmtId="164" fontId="35" fillId="2" borderId="13" xfId="5" applyFont="1" applyFill="1" applyBorder="1" applyAlignment="1" applyProtection="1">
      <alignment horizontal="center" vertical="center"/>
    </xf>
    <xf numFmtId="164" fontId="35" fillId="2" borderId="6" xfId="5" applyFont="1" applyFill="1" applyBorder="1" applyAlignment="1" applyProtection="1">
      <alignment horizontal="center" vertical="center"/>
    </xf>
    <xf numFmtId="9" fontId="35" fillId="2" borderId="13" xfId="2" applyNumberFormat="1" applyFont="1" applyFill="1" applyBorder="1" applyAlignment="1" applyProtection="1">
      <alignment horizontal="center" vertical="center"/>
    </xf>
    <xf numFmtId="9" fontId="35" fillId="2" borderId="6" xfId="2" applyNumberFormat="1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horizontal="right" vertical="center" wrapText="1"/>
    </xf>
    <xf numFmtId="0" fontId="32" fillId="0" borderId="6" xfId="0" applyFont="1" applyFill="1" applyBorder="1" applyAlignment="1" applyProtection="1">
      <alignment horizontal="right" vertical="center" wrapText="1"/>
    </xf>
    <xf numFmtId="0" fontId="32" fillId="0" borderId="13" xfId="0" applyFont="1" applyFill="1" applyBorder="1" applyAlignment="1" applyProtection="1">
      <alignment horizontal="right" vertical="center"/>
    </xf>
    <xf numFmtId="0" fontId="32" fillId="0" borderId="6" xfId="0" applyFont="1" applyFill="1" applyBorder="1" applyAlignment="1" applyProtection="1">
      <alignment horizontal="righ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center" wrapText="1"/>
    </xf>
    <xf numFmtId="0" fontId="42" fillId="4" borderId="1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right" vertical="center"/>
    </xf>
    <xf numFmtId="0" fontId="14" fillId="0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9" fillId="3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 applyProtection="1">
      <alignment horizontal="left" wrapText="1"/>
      <protection locked="0"/>
    </xf>
    <xf numFmtId="0" fontId="17" fillId="0" borderId="5" xfId="0" applyFont="1" applyFill="1" applyBorder="1" applyAlignment="1" applyProtection="1">
      <alignment horizontal="left" wrapText="1"/>
      <protection locked="0"/>
    </xf>
    <xf numFmtId="0" fontId="17" fillId="0" borderId="11" xfId="0" applyFont="1" applyFill="1" applyBorder="1" applyAlignment="1" applyProtection="1">
      <alignment horizontal="left" wrapText="1"/>
      <protection locked="0"/>
    </xf>
    <xf numFmtId="0" fontId="17" fillId="0" borderId="15" xfId="0" applyFont="1" applyFill="1" applyBorder="1" applyAlignment="1" applyProtection="1">
      <alignment horizontal="left" wrapText="1"/>
      <protection locked="0"/>
    </xf>
    <xf numFmtId="0" fontId="24" fillId="0" borderId="0" xfId="0" applyFont="1" applyBorder="1" applyAlignment="1">
      <alignment horizontal="center" vertical="center" wrapText="1"/>
    </xf>
    <xf numFmtId="0" fontId="43" fillId="0" borderId="11" xfId="0" applyFont="1" applyFill="1" applyBorder="1" applyAlignment="1" applyProtection="1">
      <alignment horizontal="left" wrapText="1"/>
      <protection locked="0"/>
    </xf>
    <xf numFmtId="0" fontId="43" fillId="0" borderId="15" xfId="0" applyFont="1" applyFill="1" applyBorder="1" applyAlignment="1" applyProtection="1">
      <alignment horizontal="left" wrapText="1"/>
      <protection locked="0"/>
    </xf>
    <xf numFmtId="0" fontId="43" fillId="0" borderId="12" xfId="0" applyFont="1" applyFill="1" applyBorder="1" applyAlignment="1" applyProtection="1">
      <alignment horizontal="left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51" fillId="0" borderId="9" xfId="0" applyFont="1" applyFill="1" applyBorder="1" applyAlignment="1" applyProtection="1">
      <alignment horizontal="left" vertical="center" wrapText="1"/>
    </xf>
    <xf numFmtId="0" fontId="51" fillId="0" borderId="0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51" fillId="0" borderId="11" xfId="0" applyFont="1" applyFill="1" applyBorder="1" applyAlignment="1" applyProtection="1">
      <alignment horizontal="left" vertical="center" wrapText="1"/>
    </xf>
    <xf numFmtId="0" fontId="51" fillId="0" borderId="15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26" fillId="0" borderId="14" xfId="0" applyFont="1" applyFill="1" applyBorder="1" applyAlignment="1" applyProtection="1">
      <alignment horizontal="left" vertical="center" wrapText="1"/>
    </xf>
    <xf numFmtId="0" fontId="30" fillId="0" borderId="9" xfId="0" applyFont="1" applyFill="1" applyBorder="1" applyAlignment="1" applyProtection="1">
      <alignment horizontal="left" vertical="center" wrapText="1"/>
      <protection locked="0"/>
    </xf>
    <xf numFmtId="0" fontId="30" fillId="0" borderId="10" xfId="0" applyFont="1" applyFill="1" applyBorder="1" applyAlignment="1" applyProtection="1">
      <alignment horizontal="left" vertical="center" wrapText="1"/>
      <protection locked="0"/>
    </xf>
    <xf numFmtId="0" fontId="58" fillId="0" borderId="13" xfId="0" applyFont="1" applyFill="1" applyBorder="1" applyAlignment="1" applyProtection="1">
      <alignment horizontal="right" vertical="center"/>
      <protection locked="0"/>
    </xf>
    <xf numFmtId="0" fontId="58" fillId="0" borderId="14" xfId="0" applyFont="1" applyFill="1" applyBorder="1" applyAlignment="1" applyProtection="1">
      <alignment horizontal="right" vertical="center"/>
      <protection locked="0"/>
    </xf>
    <xf numFmtId="0" fontId="58" fillId="0" borderId="6" xfId="0" applyFont="1" applyFill="1" applyBorder="1" applyAlignment="1" applyProtection="1">
      <alignment horizontal="right" vertical="center"/>
      <protection locked="0"/>
    </xf>
    <xf numFmtId="0" fontId="8" fillId="0" borderId="30" xfId="0" applyFont="1" applyFill="1" applyBorder="1" applyAlignment="1" applyProtection="1">
      <alignment horizontal="left" vertical="center" wrapText="1"/>
    </xf>
    <xf numFmtId="0" fontId="8" fillId="0" borderId="3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left" vertical="center" wrapText="1"/>
    </xf>
    <xf numFmtId="0" fontId="17" fillId="0" borderId="24" xfId="0" applyFont="1" applyFill="1" applyBorder="1" applyAlignment="1" applyProtection="1">
      <alignment horizontal="left" vertical="center" wrapText="1"/>
    </xf>
    <xf numFmtId="0" fontId="43" fillId="0" borderId="11" xfId="0" applyFont="1" applyFill="1" applyBorder="1" applyAlignment="1" applyProtection="1">
      <alignment horizontal="left" vertical="top" wrapText="1"/>
      <protection locked="0"/>
    </xf>
    <xf numFmtId="0" fontId="43" fillId="0" borderId="15" xfId="0" applyFont="1" applyFill="1" applyBorder="1" applyAlignment="1" applyProtection="1">
      <alignment horizontal="left" vertical="top"/>
      <protection locked="0"/>
    </xf>
    <xf numFmtId="0" fontId="43" fillId="0" borderId="12" xfId="0" applyFont="1" applyFill="1" applyBorder="1" applyAlignment="1" applyProtection="1">
      <alignment horizontal="left" vertical="top"/>
      <protection locked="0"/>
    </xf>
    <xf numFmtId="0" fontId="24" fillId="0" borderId="15" xfId="0" applyFont="1" applyBorder="1" applyAlignment="1">
      <alignment horizontal="justify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8" fillId="0" borderId="30" xfId="0" applyFont="1" applyFill="1" applyBorder="1" applyAlignment="1" applyProtection="1">
      <alignment horizontal="left" vertical="center"/>
    </xf>
    <xf numFmtId="0" fontId="8" fillId="0" borderId="31" xfId="0" applyFont="1" applyFill="1" applyBorder="1" applyAlignment="1" applyProtection="1">
      <alignment horizontal="left" vertical="center"/>
    </xf>
    <xf numFmtId="0" fontId="8" fillId="0" borderId="33" xfId="0" applyFont="1" applyFill="1" applyBorder="1" applyAlignment="1" applyProtection="1">
      <alignment horizontal="left" vertical="center"/>
    </xf>
    <xf numFmtId="0" fontId="35" fillId="0" borderId="22" xfId="0" applyFont="1" applyFill="1" applyBorder="1" applyAlignment="1" applyProtection="1">
      <alignment horizontal="left" vertical="center" wrapText="1"/>
    </xf>
    <xf numFmtId="0" fontId="35" fillId="0" borderId="23" xfId="0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 applyProtection="1">
      <alignment horizontal="left" vertical="center" wrapText="1"/>
    </xf>
    <xf numFmtId="0" fontId="8" fillId="0" borderId="18" xfId="0" applyFont="1" applyFill="1" applyBorder="1" applyAlignment="1" applyProtection="1">
      <alignment horizontal="left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6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33" fillId="0" borderId="5" xfId="0" applyFont="1" applyFill="1" applyBorder="1" applyAlignment="1" applyProtection="1">
      <alignment horizontal="right" vertical="center"/>
    </xf>
    <xf numFmtId="0" fontId="40" fillId="2" borderId="1" xfId="0" applyFont="1" applyFill="1" applyBorder="1" applyAlignment="1">
      <alignment horizontal="center" vertical="center" wrapText="1"/>
    </xf>
    <xf numFmtId="3" fontId="40" fillId="2" borderId="1" xfId="3" applyNumberFormat="1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164" fontId="26" fillId="2" borderId="13" xfId="5" applyFont="1" applyFill="1" applyBorder="1" applyAlignment="1" applyProtection="1">
      <alignment horizontal="center" vertical="center"/>
    </xf>
    <xf numFmtId="164" fontId="26" fillId="2" borderId="6" xfId="5" applyFont="1" applyFill="1" applyBorder="1" applyAlignment="1" applyProtection="1">
      <alignment horizontal="center" vertical="center"/>
    </xf>
    <xf numFmtId="20" fontId="53" fillId="0" borderId="5" xfId="0" applyNumberFormat="1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52" fillId="7" borderId="1" xfId="0" applyFont="1" applyFill="1" applyBorder="1" applyAlignment="1">
      <alignment horizont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8">
    <cellStyle name="Hiperlink" xfId="7" builtinId="8"/>
    <cellStyle name="Moeda" xfId="5" builtinId="4"/>
    <cellStyle name="Normal" xfId="0" builtinId="0"/>
    <cellStyle name="Normal 2" xfId="1"/>
    <cellStyle name="Normal 3" xfId="6"/>
    <cellStyle name="Porcentagem" xfId="2" builtinId="5"/>
    <cellStyle name="Vírgula" xfId="3" builtinId="3"/>
    <cellStyle name="Vírgula 2" xfId="4"/>
  </cellStyles>
  <dxfs count="0"/>
  <tableStyles count="0" defaultTableStyle="TableStyleMedium9" defaultPivotStyle="PivotStyleLight16"/>
  <colors>
    <mruColors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337930</xdr:colOff>
      <xdr:row>58</xdr:row>
      <xdr:rowOff>65314</xdr:rowOff>
    </xdr:from>
    <xdr:to>
      <xdr:col>5</xdr:col>
      <xdr:colOff>337930</xdr:colOff>
      <xdr:row>60</xdr:row>
      <xdr:rowOff>17418</xdr:rowOff>
    </xdr:to>
    <xdr:grpSp>
      <xdr:nvGrpSpPr>
        <xdr:cNvPr id="31" name="Agrupar 30">
          <a:extLst>
            <a:ext uri="{FF2B5EF4-FFF2-40B4-BE49-F238E27FC236}">
              <a16:creationId xmlns:a16="http://schemas.microsoft.com/office/drawing/2014/main" xmlns="" id="{E8B50551-0B30-4247-B942-4F231DF79DD4}"/>
            </a:ext>
          </a:extLst>
        </xdr:cNvPr>
        <xdr:cNvGrpSpPr/>
      </xdr:nvGrpSpPr>
      <xdr:grpSpPr>
        <a:xfrm>
          <a:off x="1583507" y="13187833"/>
          <a:ext cx="2051538" cy="406373"/>
          <a:chOff x="1623391" y="16272723"/>
          <a:chExt cx="2113722" cy="415930"/>
        </a:xfrm>
      </xdr:grpSpPr>
      <xdr:cxnSp macro="">
        <xdr:nvCxnSpPr>
          <xdr:cNvPr id="3" name="Conector de Seta Reta 2">
            <a:extLst>
              <a:ext uri="{FF2B5EF4-FFF2-40B4-BE49-F238E27FC236}">
                <a16:creationId xmlns:a16="http://schemas.microsoft.com/office/drawing/2014/main" xmlns="" id="{916A21DF-A5FF-4700-902A-776FAD4DA682}"/>
              </a:ext>
            </a:extLst>
          </xdr:cNvPr>
          <xdr:cNvCxnSpPr/>
        </xdr:nvCxnSpPr>
        <xdr:spPr bwMode="auto">
          <a:xfrm flipV="1">
            <a:off x="1623391" y="16538713"/>
            <a:ext cx="251792" cy="6627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cxnSp macro="">
        <xdr:nvCxnSpPr>
          <xdr:cNvPr id="5" name="Conector de Seta Reta 4">
            <a:extLst>
              <a:ext uri="{FF2B5EF4-FFF2-40B4-BE49-F238E27FC236}">
                <a16:creationId xmlns:a16="http://schemas.microsoft.com/office/drawing/2014/main" xmlns="" id="{3AEF1DDB-0770-4C0F-B0A3-85162630D994}"/>
              </a:ext>
            </a:extLst>
          </xdr:cNvPr>
          <xdr:cNvCxnSpPr/>
        </xdr:nvCxnSpPr>
        <xdr:spPr bwMode="auto">
          <a:xfrm>
            <a:off x="3491948" y="16518835"/>
            <a:ext cx="245165" cy="39756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grpSp>
        <xdr:nvGrpSpPr>
          <xdr:cNvPr id="25" name="Agrupar 24">
            <a:extLst>
              <a:ext uri="{FF2B5EF4-FFF2-40B4-BE49-F238E27FC236}">
                <a16:creationId xmlns:a16="http://schemas.microsoft.com/office/drawing/2014/main" xmlns="" id="{73BB790A-C876-4E55-B81E-4F940EADEFE8}"/>
              </a:ext>
            </a:extLst>
          </xdr:cNvPr>
          <xdr:cNvGrpSpPr/>
        </xdr:nvGrpSpPr>
        <xdr:grpSpPr>
          <a:xfrm>
            <a:off x="2418882" y="16272723"/>
            <a:ext cx="307848" cy="415930"/>
            <a:chOff x="2383101" y="16177913"/>
            <a:chExt cx="341376" cy="458506"/>
          </a:xfrm>
        </xdr:grpSpPr>
        <xdr:cxnSp macro="">
          <xdr:nvCxnSpPr>
            <xdr:cNvPr id="8" name="Conector reto 7">
              <a:extLst>
                <a:ext uri="{FF2B5EF4-FFF2-40B4-BE49-F238E27FC236}">
                  <a16:creationId xmlns:a16="http://schemas.microsoft.com/office/drawing/2014/main" xmlns="" id="{532FA510-0678-447C-97D0-E43256EA7257}"/>
                </a:ext>
              </a:extLst>
            </xdr:cNvPr>
            <xdr:cNvCxnSpPr/>
          </xdr:nvCxnSpPr>
          <xdr:spPr bwMode="auto">
            <a:xfrm>
              <a:off x="2383101" y="16177913"/>
              <a:ext cx="341376" cy="458506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9" name="Conector reto 8">
              <a:extLst>
                <a:ext uri="{FF2B5EF4-FFF2-40B4-BE49-F238E27FC236}">
                  <a16:creationId xmlns:a16="http://schemas.microsoft.com/office/drawing/2014/main" xmlns="" id="{D87EE37D-B78C-489A-BC48-8DBC2BC9B73F}"/>
                </a:ext>
              </a:extLst>
            </xdr:cNvPr>
            <xdr:cNvCxnSpPr/>
          </xdr:nvCxnSpPr>
          <xdr:spPr bwMode="auto">
            <a:xfrm flipH="1">
              <a:off x="2388800" y="16184009"/>
              <a:ext cx="335677" cy="437246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  <xdr:grpSp>
        <xdr:nvGrpSpPr>
          <xdr:cNvPr id="23" name="Agrupar 22">
            <a:extLst>
              <a:ext uri="{FF2B5EF4-FFF2-40B4-BE49-F238E27FC236}">
                <a16:creationId xmlns:a16="http://schemas.microsoft.com/office/drawing/2014/main" xmlns="" id="{C210AEAA-7A56-4DF6-88D1-6A17A169304E}"/>
              </a:ext>
            </a:extLst>
          </xdr:cNvPr>
          <xdr:cNvGrpSpPr/>
        </xdr:nvGrpSpPr>
        <xdr:grpSpPr>
          <a:xfrm>
            <a:off x="3226202" y="16455070"/>
            <a:ext cx="207813" cy="80044"/>
            <a:chOff x="3220903" y="16396573"/>
            <a:chExt cx="205919" cy="80044"/>
          </a:xfrm>
        </xdr:grpSpPr>
        <xdr:cxnSp macro="">
          <xdr:nvCxnSpPr>
            <xdr:cNvPr id="18" name="Conector reto 17">
              <a:extLst>
                <a:ext uri="{FF2B5EF4-FFF2-40B4-BE49-F238E27FC236}">
                  <a16:creationId xmlns:a16="http://schemas.microsoft.com/office/drawing/2014/main" xmlns="" id="{99B29A48-DAAB-44EA-A9E9-5F94C89FE7DD}"/>
                </a:ext>
              </a:extLst>
            </xdr:cNvPr>
            <xdr:cNvCxnSpPr/>
          </xdr:nvCxnSpPr>
          <xdr:spPr bwMode="auto">
            <a:xfrm flipH="1" flipV="1">
              <a:off x="3220904" y="16396573"/>
              <a:ext cx="205918" cy="6021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20" name="Conector reto 19">
              <a:extLst>
                <a:ext uri="{FF2B5EF4-FFF2-40B4-BE49-F238E27FC236}">
                  <a16:creationId xmlns:a16="http://schemas.microsoft.com/office/drawing/2014/main" xmlns="" id="{FACD736F-E9E3-48DC-84F5-4FCD6CA9BBD4}"/>
                </a:ext>
              </a:extLst>
            </xdr:cNvPr>
            <xdr:cNvCxnSpPr/>
          </xdr:nvCxnSpPr>
          <xdr:spPr bwMode="auto">
            <a:xfrm flipH="1" flipV="1">
              <a:off x="3220903" y="16470596"/>
              <a:ext cx="205918" cy="6021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337930</xdr:colOff>
      <xdr:row>58</xdr:row>
      <xdr:rowOff>65314</xdr:rowOff>
    </xdr:from>
    <xdr:to>
      <xdr:col>5</xdr:col>
      <xdr:colOff>337930</xdr:colOff>
      <xdr:row>60</xdr:row>
      <xdr:rowOff>17418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xmlns="" id="{D746075C-E519-4B94-AFE9-53E3BD74C26A}"/>
            </a:ext>
          </a:extLst>
        </xdr:cNvPr>
        <xdr:cNvGrpSpPr/>
      </xdr:nvGrpSpPr>
      <xdr:grpSpPr>
        <a:xfrm>
          <a:off x="1583507" y="13187833"/>
          <a:ext cx="2051538" cy="406373"/>
          <a:chOff x="1623391" y="16272723"/>
          <a:chExt cx="2113722" cy="415930"/>
        </a:xfrm>
      </xdr:grpSpPr>
      <xdr:cxnSp macro="">
        <xdr:nvCxnSpPr>
          <xdr:cNvPr id="3" name="Conector de Seta Reta 2">
            <a:extLst>
              <a:ext uri="{FF2B5EF4-FFF2-40B4-BE49-F238E27FC236}">
                <a16:creationId xmlns:a16="http://schemas.microsoft.com/office/drawing/2014/main" xmlns="" id="{643972D8-EFFF-4079-AB62-14609D89A0DA}"/>
              </a:ext>
            </a:extLst>
          </xdr:cNvPr>
          <xdr:cNvCxnSpPr/>
        </xdr:nvCxnSpPr>
        <xdr:spPr bwMode="auto">
          <a:xfrm flipV="1">
            <a:off x="1623391" y="16538713"/>
            <a:ext cx="251792" cy="6627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cxnSp macro="">
        <xdr:nvCxnSpPr>
          <xdr:cNvPr id="4" name="Conector de Seta Reta 3">
            <a:extLst>
              <a:ext uri="{FF2B5EF4-FFF2-40B4-BE49-F238E27FC236}">
                <a16:creationId xmlns:a16="http://schemas.microsoft.com/office/drawing/2014/main" xmlns="" id="{16D9AE3A-C429-45CB-ADE7-1FDB4DAC288C}"/>
              </a:ext>
            </a:extLst>
          </xdr:cNvPr>
          <xdr:cNvCxnSpPr/>
        </xdr:nvCxnSpPr>
        <xdr:spPr bwMode="auto">
          <a:xfrm>
            <a:off x="3491948" y="16518835"/>
            <a:ext cx="245165" cy="39756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grpSp>
        <xdr:nvGrpSpPr>
          <xdr:cNvPr id="5" name="Agrupar 4">
            <a:extLst>
              <a:ext uri="{FF2B5EF4-FFF2-40B4-BE49-F238E27FC236}">
                <a16:creationId xmlns:a16="http://schemas.microsoft.com/office/drawing/2014/main" xmlns="" id="{B8F65F54-D269-4825-B295-C5C647B5AFF4}"/>
              </a:ext>
            </a:extLst>
          </xdr:cNvPr>
          <xdr:cNvGrpSpPr/>
        </xdr:nvGrpSpPr>
        <xdr:grpSpPr>
          <a:xfrm>
            <a:off x="2418882" y="16272723"/>
            <a:ext cx="307848" cy="415930"/>
            <a:chOff x="2383101" y="16177913"/>
            <a:chExt cx="341376" cy="458506"/>
          </a:xfrm>
        </xdr:grpSpPr>
        <xdr:cxnSp macro="">
          <xdr:nvCxnSpPr>
            <xdr:cNvPr id="9" name="Conector reto 8">
              <a:extLst>
                <a:ext uri="{FF2B5EF4-FFF2-40B4-BE49-F238E27FC236}">
                  <a16:creationId xmlns:a16="http://schemas.microsoft.com/office/drawing/2014/main" xmlns="" id="{E6FCB698-9353-45E4-A01A-4842583A4A30}"/>
                </a:ext>
              </a:extLst>
            </xdr:cNvPr>
            <xdr:cNvCxnSpPr/>
          </xdr:nvCxnSpPr>
          <xdr:spPr bwMode="auto">
            <a:xfrm>
              <a:off x="2383101" y="16177913"/>
              <a:ext cx="341376" cy="458506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10" name="Conector reto 9">
              <a:extLst>
                <a:ext uri="{FF2B5EF4-FFF2-40B4-BE49-F238E27FC236}">
                  <a16:creationId xmlns:a16="http://schemas.microsoft.com/office/drawing/2014/main" xmlns="" id="{F95A1B25-BC7B-41DC-87BB-7D8CFDC40F94}"/>
                </a:ext>
              </a:extLst>
            </xdr:cNvPr>
            <xdr:cNvCxnSpPr/>
          </xdr:nvCxnSpPr>
          <xdr:spPr bwMode="auto">
            <a:xfrm flipH="1">
              <a:off x="2388800" y="16184009"/>
              <a:ext cx="335677" cy="437246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  <xdr:grpSp>
        <xdr:nvGrpSpPr>
          <xdr:cNvPr id="6" name="Agrupar 5">
            <a:extLst>
              <a:ext uri="{FF2B5EF4-FFF2-40B4-BE49-F238E27FC236}">
                <a16:creationId xmlns:a16="http://schemas.microsoft.com/office/drawing/2014/main" xmlns="" id="{0ECF6BB3-6389-406E-B85A-0FA5732C8B23}"/>
              </a:ext>
            </a:extLst>
          </xdr:cNvPr>
          <xdr:cNvGrpSpPr/>
        </xdr:nvGrpSpPr>
        <xdr:grpSpPr>
          <a:xfrm>
            <a:off x="3226202" y="16455070"/>
            <a:ext cx="207813" cy="80044"/>
            <a:chOff x="3220903" y="16396573"/>
            <a:chExt cx="205919" cy="80044"/>
          </a:xfrm>
        </xdr:grpSpPr>
        <xdr:cxnSp macro="">
          <xdr:nvCxnSpPr>
            <xdr:cNvPr id="7" name="Conector reto 6">
              <a:extLst>
                <a:ext uri="{FF2B5EF4-FFF2-40B4-BE49-F238E27FC236}">
                  <a16:creationId xmlns:a16="http://schemas.microsoft.com/office/drawing/2014/main" xmlns="" id="{804DD765-8D95-4E68-A7E0-E9F1DED004FC}"/>
                </a:ext>
              </a:extLst>
            </xdr:cNvPr>
            <xdr:cNvCxnSpPr/>
          </xdr:nvCxnSpPr>
          <xdr:spPr bwMode="auto">
            <a:xfrm flipH="1" flipV="1">
              <a:off x="3220904" y="16396573"/>
              <a:ext cx="205918" cy="6021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8" name="Conector reto 7">
              <a:extLst>
                <a:ext uri="{FF2B5EF4-FFF2-40B4-BE49-F238E27FC236}">
                  <a16:creationId xmlns:a16="http://schemas.microsoft.com/office/drawing/2014/main" xmlns="" id="{E156E2C7-622F-4705-B0DD-115FB6A56F3D}"/>
                </a:ext>
              </a:extLst>
            </xdr:cNvPr>
            <xdr:cNvCxnSpPr/>
          </xdr:nvCxnSpPr>
          <xdr:spPr bwMode="auto">
            <a:xfrm flipH="1" flipV="1">
              <a:off x="3220903" y="16470596"/>
              <a:ext cx="205918" cy="6021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337930</xdr:colOff>
      <xdr:row>58</xdr:row>
      <xdr:rowOff>65314</xdr:rowOff>
    </xdr:from>
    <xdr:to>
      <xdr:col>5</xdr:col>
      <xdr:colOff>337930</xdr:colOff>
      <xdr:row>60</xdr:row>
      <xdr:rowOff>17418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xmlns="" id="{BF68B8C2-D9F5-48B7-AA1C-50B079FCBA56}"/>
            </a:ext>
          </a:extLst>
        </xdr:cNvPr>
        <xdr:cNvGrpSpPr/>
      </xdr:nvGrpSpPr>
      <xdr:grpSpPr>
        <a:xfrm>
          <a:off x="1627468" y="13236191"/>
          <a:ext cx="2110154" cy="409304"/>
          <a:chOff x="1623391" y="16272723"/>
          <a:chExt cx="2113722" cy="415930"/>
        </a:xfrm>
      </xdr:grpSpPr>
      <xdr:cxnSp macro="">
        <xdr:nvCxnSpPr>
          <xdr:cNvPr id="3" name="Conector de Seta Reta 2">
            <a:extLst>
              <a:ext uri="{FF2B5EF4-FFF2-40B4-BE49-F238E27FC236}">
                <a16:creationId xmlns:a16="http://schemas.microsoft.com/office/drawing/2014/main" xmlns="" id="{547B890C-4E60-478F-9708-083D759AA86E}"/>
              </a:ext>
            </a:extLst>
          </xdr:cNvPr>
          <xdr:cNvCxnSpPr/>
        </xdr:nvCxnSpPr>
        <xdr:spPr bwMode="auto">
          <a:xfrm flipV="1">
            <a:off x="1623391" y="16538713"/>
            <a:ext cx="251792" cy="6627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cxnSp macro="">
        <xdr:nvCxnSpPr>
          <xdr:cNvPr id="4" name="Conector de Seta Reta 3">
            <a:extLst>
              <a:ext uri="{FF2B5EF4-FFF2-40B4-BE49-F238E27FC236}">
                <a16:creationId xmlns:a16="http://schemas.microsoft.com/office/drawing/2014/main" xmlns="" id="{16456E58-FFE3-484F-8B07-E300788775A9}"/>
              </a:ext>
            </a:extLst>
          </xdr:cNvPr>
          <xdr:cNvCxnSpPr/>
        </xdr:nvCxnSpPr>
        <xdr:spPr bwMode="auto">
          <a:xfrm>
            <a:off x="3491948" y="16518835"/>
            <a:ext cx="245165" cy="39756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grpSp>
        <xdr:nvGrpSpPr>
          <xdr:cNvPr id="5" name="Agrupar 4">
            <a:extLst>
              <a:ext uri="{FF2B5EF4-FFF2-40B4-BE49-F238E27FC236}">
                <a16:creationId xmlns:a16="http://schemas.microsoft.com/office/drawing/2014/main" xmlns="" id="{2A8405CD-DD91-4DC1-B4AE-0D58729F8B4F}"/>
              </a:ext>
            </a:extLst>
          </xdr:cNvPr>
          <xdr:cNvGrpSpPr/>
        </xdr:nvGrpSpPr>
        <xdr:grpSpPr>
          <a:xfrm>
            <a:off x="2418882" y="16272723"/>
            <a:ext cx="307848" cy="415930"/>
            <a:chOff x="2383101" y="16177913"/>
            <a:chExt cx="341376" cy="458506"/>
          </a:xfrm>
        </xdr:grpSpPr>
        <xdr:cxnSp macro="">
          <xdr:nvCxnSpPr>
            <xdr:cNvPr id="9" name="Conector reto 8">
              <a:extLst>
                <a:ext uri="{FF2B5EF4-FFF2-40B4-BE49-F238E27FC236}">
                  <a16:creationId xmlns:a16="http://schemas.microsoft.com/office/drawing/2014/main" xmlns="" id="{AE46E65E-EA9F-4F79-B19B-577AA393329A}"/>
                </a:ext>
              </a:extLst>
            </xdr:cNvPr>
            <xdr:cNvCxnSpPr/>
          </xdr:nvCxnSpPr>
          <xdr:spPr bwMode="auto">
            <a:xfrm>
              <a:off x="2383101" y="16177913"/>
              <a:ext cx="341376" cy="458506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10" name="Conector reto 9">
              <a:extLst>
                <a:ext uri="{FF2B5EF4-FFF2-40B4-BE49-F238E27FC236}">
                  <a16:creationId xmlns:a16="http://schemas.microsoft.com/office/drawing/2014/main" xmlns="" id="{8AE3F933-2440-41D4-9ADA-61D0D640B24B}"/>
                </a:ext>
              </a:extLst>
            </xdr:cNvPr>
            <xdr:cNvCxnSpPr/>
          </xdr:nvCxnSpPr>
          <xdr:spPr bwMode="auto">
            <a:xfrm flipH="1">
              <a:off x="2388800" y="16184009"/>
              <a:ext cx="335677" cy="437246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  <xdr:grpSp>
        <xdr:nvGrpSpPr>
          <xdr:cNvPr id="6" name="Agrupar 5">
            <a:extLst>
              <a:ext uri="{FF2B5EF4-FFF2-40B4-BE49-F238E27FC236}">
                <a16:creationId xmlns:a16="http://schemas.microsoft.com/office/drawing/2014/main" xmlns="" id="{5E2A32FB-94BF-438B-884C-0A912DBDEF66}"/>
              </a:ext>
            </a:extLst>
          </xdr:cNvPr>
          <xdr:cNvGrpSpPr/>
        </xdr:nvGrpSpPr>
        <xdr:grpSpPr>
          <a:xfrm>
            <a:off x="3226202" y="16455070"/>
            <a:ext cx="207813" cy="80044"/>
            <a:chOff x="3220903" y="16396573"/>
            <a:chExt cx="205919" cy="80044"/>
          </a:xfrm>
        </xdr:grpSpPr>
        <xdr:cxnSp macro="">
          <xdr:nvCxnSpPr>
            <xdr:cNvPr id="7" name="Conector reto 6">
              <a:extLst>
                <a:ext uri="{FF2B5EF4-FFF2-40B4-BE49-F238E27FC236}">
                  <a16:creationId xmlns:a16="http://schemas.microsoft.com/office/drawing/2014/main" xmlns="" id="{DFFEE8A4-8870-4498-A5A6-9A16F3949B53}"/>
                </a:ext>
              </a:extLst>
            </xdr:cNvPr>
            <xdr:cNvCxnSpPr/>
          </xdr:nvCxnSpPr>
          <xdr:spPr bwMode="auto">
            <a:xfrm flipH="1" flipV="1">
              <a:off x="3220904" y="16396573"/>
              <a:ext cx="205918" cy="6021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8" name="Conector reto 7">
              <a:extLst>
                <a:ext uri="{FF2B5EF4-FFF2-40B4-BE49-F238E27FC236}">
                  <a16:creationId xmlns:a16="http://schemas.microsoft.com/office/drawing/2014/main" xmlns="" id="{9BD3F548-D1D4-4A9E-8E6F-098D6B33C105}"/>
                </a:ext>
              </a:extLst>
            </xdr:cNvPr>
            <xdr:cNvCxnSpPr/>
          </xdr:nvCxnSpPr>
          <xdr:spPr bwMode="auto">
            <a:xfrm flipH="1" flipV="1">
              <a:off x="3220903" y="16470596"/>
              <a:ext cx="205918" cy="6021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337930</xdr:colOff>
      <xdr:row>58</xdr:row>
      <xdr:rowOff>65314</xdr:rowOff>
    </xdr:from>
    <xdr:to>
      <xdr:col>5</xdr:col>
      <xdr:colOff>337930</xdr:colOff>
      <xdr:row>60</xdr:row>
      <xdr:rowOff>17418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xmlns="" id="{95F13D4A-160D-482F-8DD6-1125840DE51C}"/>
            </a:ext>
          </a:extLst>
        </xdr:cNvPr>
        <xdr:cNvGrpSpPr/>
      </xdr:nvGrpSpPr>
      <xdr:grpSpPr>
        <a:xfrm>
          <a:off x="1627468" y="13236191"/>
          <a:ext cx="2110154" cy="409304"/>
          <a:chOff x="1623391" y="16272723"/>
          <a:chExt cx="2113722" cy="415930"/>
        </a:xfrm>
      </xdr:grpSpPr>
      <xdr:cxnSp macro="">
        <xdr:nvCxnSpPr>
          <xdr:cNvPr id="3" name="Conector de Seta Reta 2">
            <a:extLst>
              <a:ext uri="{FF2B5EF4-FFF2-40B4-BE49-F238E27FC236}">
                <a16:creationId xmlns:a16="http://schemas.microsoft.com/office/drawing/2014/main" xmlns="" id="{9BCEB76D-90EF-4ED1-8A2F-65640CD11120}"/>
              </a:ext>
            </a:extLst>
          </xdr:cNvPr>
          <xdr:cNvCxnSpPr/>
        </xdr:nvCxnSpPr>
        <xdr:spPr bwMode="auto">
          <a:xfrm flipV="1">
            <a:off x="1623391" y="16538713"/>
            <a:ext cx="251792" cy="6627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cxnSp macro="">
        <xdr:nvCxnSpPr>
          <xdr:cNvPr id="4" name="Conector de Seta Reta 3">
            <a:extLst>
              <a:ext uri="{FF2B5EF4-FFF2-40B4-BE49-F238E27FC236}">
                <a16:creationId xmlns:a16="http://schemas.microsoft.com/office/drawing/2014/main" xmlns="" id="{34C2B676-857A-43BD-9757-D55358C9C4A7}"/>
              </a:ext>
            </a:extLst>
          </xdr:cNvPr>
          <xdr:cNvCxnSpPr/>
        </xdr:nvCxnSpPr>
        <xdr:spPr bwMode="auto">
          <a:xfrm>
            <a:off x="3491948" y="16518835"/>
            <a:ext cx="245165" cy="39756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grpSp>
        <xdr:nvGrpSpPr>
          <xdr:cNvPr id="5" name="Agrupar 4">
            <a:extLst>
              <a:ext uri="{FF2B5EF4-FFF2-40B4-BE49-F238E27FC236}">
                <a16:creationId xmlns:a16="http://schemas.microsoft.com/office/drawing/2014/main" xmlns="" id="{E36CF7F7-FF40-4648-A52C-A3C9B9FF7DE5}"/>
              </a:ext>
            </a:extLst>
          </xdr:cNvPr>
          <xdr:cNvGrpSpPr/>
        </xdr:nvGrpSpPr>
        <xdr:grpSpPr>
          <a:xfrm>
            <a:off x="2418882" y="16272723"/>
            <a:ext cx="307848" cy="415930"/>
            <a:chOff x="2383101" y="16177913"/>
            <a:chExt cx="341376" cy="458506"/>
          </a:xfrm>
        </xdr:grpSpPr>
        <xdr:cxnSp macro="">
          <xdr:nvCxnSpPr>
            <xdr:cNvPr id="9" name="Conector reto 8">
              <a:extLst>
                <a:ext uri="{FF2B5EF4-FFF2-40B4-BE49-F238E27FC236}">
                  <a16:creationId xmlns:a16="http://schemas.microsoft.com/office/drawing/2014/main" xmlns="" id="{DD2E4CE5-716D-480E-9759-DFAD6F8C0B79}"/>
                </a:ext>
              </a:extLst>
            </xdr:cNvPr>
            <xdr:cNvCxnSpPr/>
          </xdr:nvCxnSpPr>
          <xdr:spPr bwMode="auto">
            <a:xfrm>
              <a:off x="2383101" y="16177913"/>
              <a:ext cx="341376" cy="458506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10" name="Conector reto 9">
              <a:extLst>
                <a:ext uri="{FF2B5EF4-FFF2-40B4-BE49-F238E27FC236}">
                  <a16:creationId xmlns:a16="http://schemas.microsoft.com/office/drawing/2014/main" xmlns="" id="{8791B6CF-BB6D-4C7A-A334-248516597866}"/>
                </a:ext>
              </a:extLst>
            </xdr:cNvPr>
            <xdr:cNvCxnSpPr/>
          </xdr:nvCxnSpPr>
          <xdr:spPr bwMode="auto">
            <a:xfrm flipH="1">
              <a:off x="2388800" y="16184009"/>
              <a:ext cx="335677" cy="437246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  <xdr:grpSp>
        <xdr:nvGrpSpPr>
          <xdr:cNvPr id="6" name="Agrupar 5">
            <a:extLst>
              <a:ext uri="{FF2B5EF4-FFF2-40B4-BE49-F238E27FC236}">
                <a16:creationId xmlns:a16="http://schemas.microsoft.com/office/drawing/2014/main" xmlns="" id="{480EB427-E20B-4284-A212-2BC75BE4285E}"/>
              </a:ext>
            </a:extLst>
          </xdr:cNvPr>
          <xdr:cNvGrpSpPr/>
        </xdr:nvGrpSpPr>
        <xdr:grpSpPr>
          <a:xfrm>
            <a:off x="3226202" y="16455070"/>
            <a:ext cx="207813" cy="80044"/>
            <a:chOff x="3220903" y="16396573"/>
            <a:chExt cx="205919" cy="80044"/>
          </a:xfrm>
        </xdr:grpSpPr>
        <xdr:cxnSp macro="">
          <xdr:nvCxnSpPr>
            <xdr:cNvPr id="7" name="Conector reto 6">
              <a:extLst>
                <a:ext uri="{FF2B5EF4-FFF2-40B4-BE49-F238E27FC236}">
                  <a16:creationId xmlns:a16="http://schemas.microsoft.com/office/drawing/2014/main" xmlns="" id="{5C86AE18-DC8E-4169-9A2E-1F53FD3245FA}"/>
                </a:ext>
              </a:extLst>
            </xdr:cNvPr>
            <xdr:cNvCxnSpPr/>
          </xdr:nvCxnSpPr>
          <xdr:spPr bwMode="auto">
            <a:xfrm flipH="1" flipV="1">
              <a:off x="3220904" y="16396573"/>
              <a:ext cx="205918" cy="6021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8" name="Conector reto 7">
              <a:extLst>
                <a:ext uri="{FF2B5EF4-FFF2-40B4-BE49-F238E27FC236}">
                  <a16:creationId xmlns:a16="http://schemas.microsoft.com/office/drawing/2014/main" xmlns="" id="{D1611EF3-734C-4601-BBFD-D3CB22FC80B8}"/>
                </a:ext>
              </a:extLst>
            </xdr:cNvPr>
            <xdr:cNvCxnSpPr/>
          </xdr:nvCxnSpPr>
          <xdr:spPr bwMode="auto">
            <a:xfrm flipH="1" flipV="1">
              <a:off x="3220903" y="16470596"/>
              <a:ext cx="205918" cy="6021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337930</xdr:colOff>
      <xdr:row>58</xdr:row>
      <xdr:rowOff>65314</xdr:rowOff>
    </xdr:from>
    <xdr:to>
      <xdr:col>5</xdr:col>
      <xdr:colOff>337930</xdr:colOff>
      <xdr:row>60</xdr:row>
      <xdr:rowOff>17418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xmlns="" id="{56265E46-9DBF-4835-8657-0FD621A8AEBC}"/>
            </a:ext>
          </a:extLst>
        </xdr:cNvPr>
        <xdr:cNvGrpSpPr/>
      </xdr:nvGrpSpPr>
      <xdr:grpSpPr>
        <a:xfrm>
          <a:off x="1627468" y="13236191"/>
          <a:ext cx="2110154" cy="409304"/>
          <a:chOff x="1623391" y="16272723"/>
          <a:chExt cx="2113722" cy="415930"/>
        </a:xfrm>
      </xdr:grpSpPr>
      <xdr:cxnSp macro="">
        <xdr:nvCxnSpPr>
          <xdr:cNvPr id="3" name="Conector de Seta Reta 2">
            <a:extLst>
              <a:ext uri="{FF2B5EF4-FFF2-40B4-BE49-F238E27FC236}">
                <a16:creationId xmlns:a16="http://schemas.microsoft.com/office/drawing/2014/main" xmlns="" id="{BFAF4372-9006-450C-AFCF-451600426A85}"/>
              </a:ext>
            </a:extLst>
          </xdr:cNvPr>
          <xdr:cNvCxnSpPr/>
        </xdr:nvCxnSpPr>
        <xdr:spPr bwMode="auto">
          <a:xfrm flipV="1">
            <a:off x="1623391" y="16538713"/>
            <a:ext cx="251792" cy="6627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cxnSp macro="">
        <xdr:nvCxnSpPr>
          <xdr:cNvPr id="4" name="Conector de Seta Reta 3">
            <a:extLst>
              <a:ext uri="{FF2B5EF4-FFF2-40B4-BE49-F238E27FC236}">
                <a16:creationId xmlns:a16="http://schemas.microsoft.com/office/drawing/2014/main" xmlns="" id="{4011A468-83CF-4515-9868-30C2F24A6887}"/>
              </a:ext>
            </a:extLst>
          </xdr:cNvPr>
          <xdr:cNvCxnSpPr/>
        </xdr:nvCxnSpPr>
        <xdr:spPr bwMode="auto">
          <a:xfrm>
            <a:off x="3491948" y="16518835"/>
            <a:ext cx="245165" cy="39756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grpSp>
        <xdr:nvGrpSpPr>
          <xdr:cNvPr id="5" name="Agrupar 4">
            <a:extLst>
              <a:ext uri="{FF2B5EF4-FFF2-40B4-BE49-F238E27FC236}">
                <a16:creationId xmlns:a16="http://schemas.microsoft.com/office/drawing/2014/main" xmlns="" id="{EA67C57D-E867-4296-AA96-38506D780A85}"/>
              </a:ext>
            </a:extLst>
          </xdr:cNvPr>
          <xdr:cNvGrpSpPr/>
        </xdr:nvGrpSpPr>
        <xdr:grpSpPr>
          <a:xfrm>
            <a:off x="2418882" y="16272723"/>
            <a:ext cx="307848" cy="415930"/>
            <a:chOff x="2383101" y="16177913"/>
            <a:chExt cx="341376" cy="458506"/>
          </a:xfrm>
        </xdr:grpSpPr>
        <xdr:cxnSp macro="">
          <xdr:nvCxnSpPr>
            <xdr:cNvPr id="9" name="Conector reto 8">
              <a:extLst>
                <a:ext uri="{FF2B5EF4-FFF2-40B4-BE49-F238E27FC236}">
                  <a16:creationId xmlns:a16="http://schemas.microsoft.com/office/drawing/2014/main" xmlns="" id="{47C3F6AB-0705-499A-8B93-1C07A21CBD7F}"/>
                </a:ext>
              </a:extLst>
            </xdr:cNvPr>
            <xdr:cNvCxnSpPr/>
          </xdr:nvCxnSpPr>
          <xdr:spPr bwMode="auto">
            <a:xfrm>
              <a:off x="2383101" y="16177913"/>
              <a:ext cx="341376" cy="458506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10" name="Conector reto 9">
              <a:extLst>
                <a:ext uri="{FF2B5EF4-FFF2-40B4-BE49-F238E27FC236}">
                  <a16:creationId xmlns:a16="http://schemas.microsoft.com/office/drawing/2014/main" xmlns="" id="{D30B957E-07F3-42D8-822B-9DB9AA15CBD1}"/>
                </a:ext>
              </a:extLst>
            </xdr:cNvPr>
            <xdr:cNvCxnSpPr/>
          </xdr:nvCxnSpPr>
          <xdr:spPr bwMode="auto">
            <a:xfrm flipH="1">
              <a:off x="2388800" y="16184009"/>
              <a:ext cx="335677" cy="437246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  <xdr:grpSp>
        <xdr:nvGrpSpPr>
          <xdr:cNvPr id="6" name="Agrupar 5">
            <a:extLst>
              <a:ext uri="{FF2B5EF4-FFF2-40B4-BE49-F238E27FC236}">
                <a16:creationId xmlns:a16="http://schemas.microsoft.com/office/drawing/2014/main" xmlns="" id="{C7393957-BF9D-4A42-BDCA-C6616BF6CE77}"/>
              </a:ext>
            </a:extLst>
          </xdr:cNvPr>
          <xdr:cNvGrpSpPr/>
        </xdr:nvGrpSpPr>
        <xdr:grpSpPr>
          <a:xfrm>
            <a:off x="3226202" y="16455070"/>
            <a:ext cx="207813" cy="80044"/>
            <a:chOff x="3220903" y="16396573"/>
            <a:chExt cx="205919" cy="80044"/>
          </a:xfrm>
        </xdr:grpSpPr>
        <xdr:cxnSp macro="">
          <xdr:nvCxnSpPr>
            <xdr:cNvPr id="7" name="Conector reto 6">
              <a:extLst>
                <a:ext uri="{FF2B5EF4-FFF2-40B4-BE49-F238E27FC236}">
                  <a16:creationId xmlns:a16="http://schemas.microsoft.com/office/drawing/2014/main" xmlns="" id="{E21EDAF4-2BE9-4840-8858-5A3E3F161B2D}"/>
                </a:ext>
              </a:extLst>
            </xdr:cNvPr>
            <xdr:cNvCxnSpPr/>
          </xdr:nvCxnSpPr>
          <xdr:spPr bwMode="auto">
            <a:xfrm flipH="1" flipV="1">
              <a:off x="3220904" y="16396573"/>
              <a:ext cx="205918" cy="6021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8" name="Conector reto 7">
              <a:extLst>
                <a:ext uri="{FF2B5EF4-FFF2-40B4-BE49-F238E27FC236}">
                  <a16:creationId xmlns:a16="http://schemas.microsoft.com/office/drawing/2014/main" xmlns="" id="{2C30D072-C2A2-4F13-B683-61B2C35F4D4A}"/>
                </a:ext>
              </a:extLst>
            </xdr:cNvPr>
            <xdr:cNvCxnSpPr/>
          </xdr:nvCxnSpPr>
          <xdr:spPr bwMode="auto">
            <a:xfrm flipH="1" flipV="1">
              <a:off x="3220903" y="16470596"/>
              <a:ext cx="205918" cy="6021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337930</xdr:colOff>
      <xdr:row>58</xdr:row>
      <xdr:rowOff>65314</xdr:rowOff>
    </xdr:from>
    <xdr:to>
      <xdr:col>5</xdr:col>
      <xdr:colOff>337930</xdr:colOff>
      <xdr:row>60</xdr:row>
      <xdr:rowOff>17418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xmlns="" id="{86BE0B0D-4BA5-4F1D-8B15-B3547DDDC3B3}"/>
            </a:ext>
          </a:extLst>
        </xdr:cNvPr>
        <xdr:cNvGrpSpPr/>
      </xdr:nvGrpSpPr>
      <xdr:grpSpPr>
        <a:xfrm>
          <a:off x="1583507" y="13187833"/>
          <a:ext cx="2051538" cy="406373"/>
          <a:chOff x="1623391" y="16272723"/>
          <a:chExt cx="2113722" cy="415930"/>
        </a:xfrm>
      </xdr:grpSpPr>
      <xdr:cxnSp macro="">
        <xdr:nvCxnSpPr>
          <xdr:cNvPr id="3" name="Conector de Seta Reta 2">
            <a:extLst>
              <a:ext uri="{FF2B5EF4-FFF2-40B4-BE49-F238E27FC236}">
                <a16:creationId xmlns:a16="http://schemas.microsoft.com/office/drawing/2014/main" xmlns="" id="{14000343-AD23-4637-87C5-0E3F8E69EAF5}"/>
              </a:ext>
            </a:extLst>
          </xdr:cNvPr>
          <xdr:cNvCxnSpPr/>
        </xdr:nvCxnSpPr>
        <xdr:spPr bwMode="auto">
          <a:xfrm flipV="1">
            <a:off x="1623391" y="16538713"/>
            <a:ext cx="251792" cy="6627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cxnSp macro="">
        <xdr:nvCxnSpPr>
          <xdr:cNvPr id="4" name="Conector de Seta Reta 3">
            <a:extLst>
              <a:ext uri="{FF2B5EF4-FFF2-40B4-BE49-F238E27FC236}">
                <a16:creationId xmlns:a16="http://schemas.microsoft.com/office/drawing/2014/main" xmlns="" id="{061115E9-7C3E-49BB-B813-05C704C7D4D4}"/>
              </a:ext>
            </a:extLst>
          </xdr:cNvPr>
          <xdr:cNvCxnSpPr/>
        </xdr:nvCxnSpPr>
        <xdr:spPr bwMode="auto">
          <a:xfrm>
            <a:off x="3491948" y="16518835"/>
            <a:ext cx="245165" cy="39756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grpSp>
        <xdr:nvGrpSpPr>
          <xdr:cNvPr id="5" name="Agrupar 4">
            <a:extLst>
              <a:ext uri="{FF2B5EF4-FFF2-40B4-BE49-F238E27FC236}">
                <a16:creationId xmlns:a16="http://schemas.microsoft.com/office/drawing/2014/main" xmlns="" id="{0EFA4129-C263-4613-A2BE-8FBB9301A849}"/>
              </a:ext>
            </a:extLst>
          </xdr:cNvPr>
          <xdr:cNvGrpSpPr/>
        </xdr:nvGrpSpPr>
        <xdr:grpSpPr>
          <a:xfrm>
            <a:off x="2418882" y="16272723"/>
            <a:ext cx="307848" cy="415930"/>
            <a:chOff x="2383101" y="16177913"/>
            <a:chExt cx="341376" cy="458506"/>
          </a:xfrm>
        </xdr:grpSpPr>
        <xdr:cxnSp macro="">
          <xdr:nvCxnSpPr>
            <xdr:cNvPr id="9" name="Conector reto 8">
              <a:extLst>
                <a:ext uri="{FF2B5EF4-FFF2-40B4-BE49-F238E27FC236}">
                  <a16:creationId xmlns:a16="http://schemas.microsoft.com/office/drawing/2014/main" xmlns="" id="{096F42F4-176F-414C-99F2-085255C4A767}"/>
                </a:ext>
              </a:extLst>
            </xdr:cNvPr>
            <xdr:cNvCxnSpPr/>
          </xdr:nvCxnSpPr>
          <xdr:spPr bwMode="auto">
            <a:xfrm>
              <a:off x="2383101" y="16177913"/>
              <a:ext cx="341376" cy="458506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10" name="Conector reto 9">
              <a:extLst>
                <a:ext uri="{FF2B5EF4-FFF2-40B4-BE49-F238E27FC236}">
                  <a16:creationId xmlns:a16="http://schemas.microsoft.com/office/drawing/2014/main" xmlns="" id="{5001B88D-D4FF-44FF-8A89-CB9A291E6C2C}"/>
                </a:ext>
              </a:extLst>
            </xdr:cNvPr>
            <xdr:cNvCxnSpPr/>
          </xdr:nvCxnSpPr>
          <xdr:spPr bwMode="auto">
            <a:xfrm flipH="1">
              <a:off x="2388800" y="16184009"/>
              <a:ext cx="335677" cy="437246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  <xdr:grpSp>
        <xdr:nvGrpSpPr>
          <xdr:cNvPr id="6" name="Agrupar 5">
            <a:extLst>
              <a:ext uri="{FF2B5EF4-FFF2-40B4-BE49-F238E27FC236}">
                <a16:creationId xmlns:a16="http://schemas.microsoft.com/office/drawing/2014/main" xmlns="" id="{21B464F5-E359-4863-8FCD-33DB6DCA626B}"/>
              </a:ext>
            </a:extLst>
          </xdr:cNvPr>
          <xdr:cNvGrpSpPr/>
        </xdr:nvGrpSpPr>
        <xdr:grpSpPr>
          <a:xfrm>
            <a:off x="3226202" y="16455070"/>
            <a:ext cx="207813" cy="80044"/>
            <a:chOff x="3220903" y="16396573"/>
            <a:chExt cx="205919" cy="80044"/>
          </a:xfrm>
        </xdr:grpSpPr>
        <xdr:cxnSp macro="">
          <xdr:nvCxnSpPr>
            <xdr:cNvPr id="7" name="Conector reto 6">
              <a:extLst>
                <a:ext uri="{FF2B5EF4-FFF2-40B4-BE49-F238E27FC236}">
                  <a16:creationId xmlns:a16="http://schemas.microsoft.com/office/drawing/2014/main" xmlns="" id="{917D2849-F99E-40E4-95BA-6C77B21046C4}"/>
                </a:ext>
              </a:extLst>
            </xdr:cNvPr>
            <xdr:cNvCxnSpPr/>
          </xdr:nvCxnSpPr>
          <xdr:spPr bwMode="auto">
            <a:xfrm flipH="1" flipV="1">
              <a:off x="3220904" y="16396573"/>
              <a:ext cx="205918" cy="6021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8" name="Conector reto 7">
              <a:extLst>
                <a:ext uri="{FF2B5EF4-FFF2-40B4-BE49-F238E27FC236}">
                  <a16:creationId xmlns:a16="http://schemas.microsoft.com/office/drawing/2014/main" xmlns="" id="{65B1CA2F-E90B-40DC-AD3D-A971FEA4419C}"/>
                </a:ext>
              </a:extLst>
            </xdr:cNvPr>
            <xdr:cNvCxnSpPr/>
          </xdr:nvCxnSpPr>
          <xdr:spPr bwMode="auto">
            <a:xfrm flipH="1" flipV="1">
              <a:off x="3220903" y="16470596"/>
              <a:ext cx="205918" cy="6021"/>
            </a:xfrm>
            <a:prstGeom prst="line">
              <a:avLst/>
            </a:prstGeom>
            <a:ln>
              <a:headEnd type="none" w="med" len="med"/>
              <a:tailEnd type="none" w="med" len="med"/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213360</xdr:colOff>
      <xdr:row>5</xdr:row>
      <xdr:rowOff>22860</xdr:rowOff>
    </xdr:from>
    <xdr:to>
      <xdr:col>4</xdr:col>
      <xdr:colOff>213360</xdr:colOff>
      <xdr:row>6</xdr:row>
      <xdr:rowOff>49530</xdr:rowOff>
    </xdr:to>
    <xdr:sp macro="" textlink="">
      <xdr:nvSpPr>
        <xdr:cNvPr id="2" name="Chave Esquerda 1">
          <a:extLst>
            <a:ext uri="{FF2B5EF4-FFF2-40B4-BE49-F238E27FC236}">
              <a16:creationId xmlns:a16="http://schemas.microsoft.com/office/drawing/2014/main" xmlns="" id="{3955EFEE-EFCA-4106-95A6-2E98A0065F75}"/>
            </a:ext>
          </a:extLst>
        </xdr:cNvPr>
        <xdr:cNvSpPr/>
      </xdr:nvSpPr>
      <xdr:spPr bwMode="auto">
        <a:xfrm rot="16200000">
          <a:off x="558165" y="516255"/>
          <a:ext cx="194310" cy="883920"/>
        </a:xfrm>
        <a:prstGeom prst="leftBrac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5</xdr:col>
      <xdr:colOff>22860</xdr:colOff>
      <xdr:row>5</xdr:row>
      <xdr:rowOff>30480</xdr:rowOff>
    </xdr:from>
    <xdr:to>
      <xdr:col>6</xdr:col>
      <xdr:colOff>190500</xdr:colOff>
      <xdr:row>6</xdr:row>
      <xdr:rowOff>53340</xdr:rowOff>
    </xdr:to>
    <xdr:sp macro="" textlink="">
      <xdr:nvSpPr>
        <xdr:cNvPr id="3" name="Chave Esquerda 2">
          <a:extLst>
            <a:ext uri="{FF2B5EF4-FFF2-40B4-BE49-F238E27FC236}">
              <a16:creationId xmlns:a16="http://schemas.microsoft.com/office/drawing/2014/main" xmlns="" id="{1F57E0FF-AFBB-4015-920A-0CE1889F46B3}"/>
            </a:ext>
          </a:extLst>
        </xdr:cNvPr>
        <xdr:cNvSpPr/>
      </xdr:nvSpPr>
      <xdr:spPr bwMode="auto">
        <a:xfrm rot="16200000">
          <a:off x="1226820" y="769620"/>
          <a:ext cx="190500" cy="388620"/>
        </a:xfrm>
        <a:prstGeom prst="leftBrac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7</xdr:col>
      <xdr:colOff>38100</xdr:colOff>
      <xdr:row>5</xdr:row>
      <xdr:rowOff>22860</xdr:rowOff>
    </xdr:from>
    <xdr:to>
      <xdr:col>16</xdr:col>
      <xdr:colOff>198120</xdr:colOff>
      <xdr:row>7</xdr:row>
      <xdr:rowOff>0</xdr:rowOff>
    </xdr:to>
    <xdr:sp macro="" textlink="">
      <xdr:nvSpPr>
        <xdr:cNvPr id="4" name="Chave Esquerda 3">
          <a:extLst>
            <a:ext uri="{FF2B5EF4-FFF2-40B4-BE49-F238E27FC236}">
              <a16:creationId xmlns:a16="http://schemas.microsoft.com/office/drawing/2014/main" xmlns="" id="{9769647E-08A5-4836-A1ED-F1517EA7D17F}"/>
            </a:ext>
          </a:extLst>
        </xdr:cNvPr>
        <xdr:cNvSpPr/>
      </xdr:nvSpPr>
      <xdr:spPr bwMode="auto">
        <a:xfrm rot="16200000">
          <a:off x="2541270" y="-95250"/>
          <a:ext cx="236220" cy="2148840"/>
        </a:xfrm>
        <a:prstGeom prst="leftBrac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licitacao.online/forum/forum-de-discussao/planilha-de-custos/substituto-na-cobertura-de-f&#233;ria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licitacao.online/forum/forum-de-discussao/planilha-de-custos/substituto-na-cobertura-de-f&#233;ria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licitacao.online/forum/forum-de-discussao/planilha-de-custos/substituto-na-cobertura-de-f&#233;ria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licitacao.online/forum/forum-de-discussao/planilha-de-custos/substituto-na-cobertura-de-f&#233;ria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licitacao.online/forum/forum-de-discussao/planilha-de-custos/substituto-na-cobertura-de-f&#233;ria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licitacao.online/forum/forum-de-discussao/planilha-de-custos/substituto-na-cobertura-de-f&#233;r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showGridLines="0" topLeftCell="A43" zoomScale="145" zoomScaleNormal="145" zoomScaleSheetLayoutView="145" workbookViewId="0">
      <selection activeCell="K72" sqref="K72"/>
    </sheetView>
  </sheetViews>
  <sheetFormatPr defaultColWidth="9.140625" defaultRowHeight="11.25" x14ac:dyDescent="0.15"/>
  <cols>
    <col min="1" max="1" width="5.85546875" style="1" customWidth="1"/>
    <col min="2" max="2" width="12.85546875" style="59" customWidth="1"/>
    <col min="3" max="4" width="8.85546875" style="51" customWidth="1"/>
    <col min="5" max="5" width="13" style="51" customWidth="1"/>
    <col min="6" max="6" width="12.140625" style="51" customWidth="1"/>
    <col min="7" max="7" width="18.28515625" style="2" customWidth="1"/>
    <col min="8" max="8" width="12.42578125" style="1" hidden="1" customWidth="1"/>
    <col min="9" max="9" width="19" style="1" hidden="1" customWidth="1"/>
    <col min="10" max="10" width="0" style="1" hidden="1" customWidth="1"/>
    <col min="11" max="11" width="11.140625" style="1" bestFit="1" customWidth="1"/>
    <col min="12" max="16384" width="9.140625" style="1"/>
  </cols>
  <sheetData>
    <row r="1" spans="1:8" ht="12.75" x14ac:dyDescent="0.2">
      <c r="H1"/>
    </row>
    <row r="2" spans="1:8" ht="18" x14ac:dyDescent="0.25">
      <c r="A2" s="570"/>
      <c r="B2" s="570"/>
      <c r="C2" s="570"/>
      <c r="D2" s="570"/>
      <c r="E2" s="570"/>
      <c r="F2" s="570"/>
      <c r="G2" s="570"/>
    </row>
    <row r="3" spans="1:8" ht="14.25" x14ac:dyDescent="0.2">
      <c r="A3" s="571"/>
      <c r="B3" s="571"/>
      <c r="C3" s="571"/>
      <c r="D3" s="571"/>
      <c r="E3" s="571"/>
      <c r="F3" s="571"/>
      <c r="G3" s="571"/>
    </row>
    <row r="4" spans="1:8" x14ac:dyDescent="0.15">
      <c r="B4" s="56"/>
      <c r="C4" s="5"/>
      <c r="D4" s="5"/>
      <c r="E4" s="5"/>
      <c r="F4" s="5"/>
      <c r="G4" s="3"/>
    </row>
    <row r="5" spans="1:8" s="4" customFormat="1" ht="15.75" x14ac:dyDescent="0.15">
      <c r="A5" s="572" t="s">
        <v>1</v>
      </c>
      <c r="B5" s="572"/>
      <c r="C5" s="572"/>
      <c r="D5" s="572"/>
      <c r="E5" s="572"/>
      <c r="F5" s="572"/>
      <c r="G5" s="572"/>
      <c r="H5" s="65"/>
    </row>
    <row r="6" spans="1:8" s="4" customFormat="1" ht="12.75" x14ac:dyDescent="0.15">
      <c r="A6" s="572" t="s">
        <v>52</v>
      </c>
      <c r="B6" s="572"/>
      <c r="C6" s="572"/>
      <c r="D6" s="572"/>
      <c r="E6" s="572"/>
      <c r="F6" s="572"/>
      <c r="G6" s="572"/>
    </row>
    <row r="7" spans="1:8" s="4" customFormat="1" ht="12.75" x14ac:dyDescent="0.15">
      <c r="A7" s="260"/>
      <c r="B7" s="260"/>
      <c r="C7" s="260"/>
      <c r="D7" s="260"/>
      <c r="E7" s="260"/>
      <c r="F7" s="260"/>
      <c r="G7" s="260"/>
    </row>
    <row r="8" spans="1:8" s="89" customFormat="1" ht="18" customHeight="1" x14ac:dyDescent="0.2">
      <c r="A8" s="123" t="s">
        <v>53</v>
      </c>
      <c r="B8" s="86"/>
      <c r="C8" s="86"/>
      <c r="D8" s="124"/>
      <c r="E8" s="124"/>
      <c r="F8" s="124"/>
      <c r="G8" s="88"/>
    </row>
    <row r="9" spans="1:8" s="89" customFormat="1" ht="18" customHeight="1" x14ac:dyDescent="0.2">
      <c r="A9" s="123"/>
      <c r="B9" s="86"/>
      <c r="C9" s="86"/>
      <c r="D9" s="124"/>
      <c r="E9" s="124"/>
      <c r="F9" s="124"/>
      <c r="G9" s="88"/>
    </row>
    <row r="10" spans="1:8" s="89" customFormat="1" ht="18" customHeight="1" x14ac:dyDescent="0.2">
      <c r="A10" s="573" t="s">
        <v>54</v>
      </c>
      <c r="B10" s="573"/>
      <c r="C10" s="574"/>
      <c r="D10" s="574"/>
      <c r="E10" s="124"/>
      <c r="F10" s="124"/>
      <c r="G10" s="88"/>
    </row>
    <row r="11" spans="1:8" s="89" customFormat="1" ht="18" customHeight="1" x14ac:dyDescent="0.2">
      <c r="A11" s="573" t="s">
        <v>55</v>
      </c>
      <c r="B11" s="573"/>
      <c r="C11" s="574"/>
      <c r="D11" s="574"/>
      <c r="E11" s="124"/>
      <c r="F11" s="124"/>
      <c r="G11" s="88"/>
    </row>
    <row r="12" spans="1:8" s="89" customFormat="1" ht="18" customHeight="1" x14ac:dyDescent="0.2">
      <c r="A12" s="272" t="s">
        <v>56</v>
      </c>
      <c r="B12" s="227" t="s">
        <v>176</v>
      </c>
      <c r="C12" s="272" t="s">
        <v>57</v>
      </c>
      <c r="D12" s="227" t="s">
        <v>177</v>
      </c>
      <c r="E12" s="124"/>
      <c r="F12" s="124"/>
      <c r="G12" s="88"/>
    </row>
    <row r="13" spans="1:8" s="89" customFormat="1" ht="18" customHeight="1" x14ac:dyDescent="0.2">
      <c r="A13" s="228"/>
      <c r="B13" s="229"/>
      <c r="C13" s="228"/>
      <c r="D13" s="229"/>
      <c r="E13" s="124"/>
      <c r="F13" s="124"/>
      <c r="G13" s="88"/>
    </row>
    <row r="14" spans="1:8" s="89" customFormat="1" ht="18" customHeight="1" x14ac:dyDescent="0.2">
      <c r="A14" s="123" t="s">
        <v>58</v>
      </c>
      <c r="B14" s="229"/>
      <c r="C14" s="228"/>
      <c r="D14" s="229"/>
      <c r="E14" s="124"/>
      <c r="F14" s="124"/>
      <c r="G14" s="88"/>
    </row>
    <row r="15" spans="1:8" s="89" customFormat="1" ht="18" customHeight="1" x14ac:dyDescent="0.2">
      <c r="A15" s="271" t="s">
        <v>13</v>
      </c>
      <c r="B15" s="569" t="s">
        <v>59</v>
      </c>
      <c r="C15" s="569"/>
      <c r="D15" s="569"/>
      <c r="E15" s="569"/>
      <c r="F15" s="231"/>
      <c r="G15" s="88"/>
    </row>
    <row r="16" spans="1:8" s="89" customFormat="1" ht="18" customHeight="1" x14ac:dyDescent="0.2">
      <c r="A16" s="271" t="s">
        <v>15</v>
      </c>
      <c r="B16" s="569" t="s">
        <v>60</v>
      </c>
      <c r="C16" s="569"/>
      <c r="D16" s="569"/>
      <c r="E16" s="569"/>
      <c r="F16" s="231"/>
      <c r="G16" s="88"/>
    </row>
    <row r="17" spans="1:7" s="89" customFormat="1" ht="18" customHeight="1" x14ac:dyDescent="0.2">
      <c r="A17" s="271" t="s">
        <v>17</v>
      </c>
      <c r="B17" s="569" t="s">
        <v>62</v>
      </c>
      <c r="C17" s="569"/>
      <c r="D17" s="569"/>
      <c r="E17" s="569"/>
      <c r="F17" s="231"/>
      <c r="G17" s="88"/>
    </row>
    <row r="18" spans="1:7" s="89" customFormat="1" ht="18" customHeight="1" x14ac:dyDescent="0.2">
      <c r="A18" s="271" t="s">
        <v>19</v>
      </c>
      <c r="B18" s="569" t="s">
        <v>63</v>
      </c>
      <c r="C18" s="569"/>
      <c r="D18" s="569"/>
      <c r="E18" s="569"/>
      <c r="F18" s="231"/>
      <c r="G18" s="88"/>
    </row>
    <row r="19" spans="1:7" s="89" customFormat="1" ht="18" customHeight="1" x14ac:dyDescent="0.2">
      <c r="A19" s="230"/>
      <c r="B19" s="232"/>
      <c r="C19" s="232"/>
      <c r="D19" s="232"/>
      <c r="E19" s="232"/>
      <c r="F19" s="124"/>
      <c r="G19" s="88"/>
    </row>
    <row r="20" spans="1:7" s="89" customFormat="1" ht="18" customHeight="1" x14ac:dyDescent="0.2">
      <c r="A20" s="123" t="s">
        <v>64</v>
      </c>
      <c r="B20" s="229"/>
      <c r="C20" s="228"/>
      <c r="D20" s="229"/>
      <c r="E20" s="124"/>
      <c r="F20" s="124"/>
      <c r="G20" s="88"/>
    </row>
    <row r="21" spans="1:7" s="89" customFormat="1" ht="18" customHeight="1" x14ac:dyDescent="0.2">
      <c r="A21" s="568" t="s">
        <v>65</v>
      </c>
      <c r="B21" s="568"/>
      <c r="C21" s="568" t="s">
        <v>66</v>
      </c>
      <c r="D21" s="568"/>
      <c r="E21" s="568" t="s">
        <v>67</v>
      </c>
      <c r="F21" s="568"/>
      <c r="G21" s="88"/>
    </row>
    <row r="22" spans="1:7" s="89" customFormat="1" ht="18" customHeight="1" x14ac:dyDescent="0.2">
      <c r="A22" s="566"/>
      <c r="B22" s="566"/>
      <c r="C22" s="566"/>
      <c r="D22" s="566"/>
      <c r="E22" s="566"/>
      <c r="F22" s="566"/>
      <c r="G22" s="88"/>
    </row>
    <row r="23" spans="1:7" s="89" customFormat="1" ht="18" customHeight="1" x14ac:dyDescent="0.2">
      <c r="A23" s="566"/>
      <c r="B23" s="566"/>
      <c r="C23" s="566"/>
      <c r="D23" s="566"/>
      <c r="E23" s="566"/>
      <c r="F23" s="566"/>
      <c r="G23" s="88"/>
    </row>
    <row r="24" spans="1:7" s="89" customFormat="1" ht="18" customHeight="1" x14ac:dyDescent="0.2">
      <c r="A24" s="566"/>
      <c r="B24" s="566"/>
      <c r="C24" s="566"/>
      <c r="D24" s="566"/>
      <c r="E24" s="566"/>
      <c r="F24" s="566"/>
      <c r="G24" s="88"/>
    </row>
    <row r="25" spans="1:7" s="89" customFormat="1" ht="15.6" customHeight="1" x14ac:dyDescent="0.2">
      <c r="A25" s="567" t="s">
        <v>68</v>
      </c>
      <c r="B25" s="567"/>
      <c r="C25" s="567"/>
      <c r="D25" s="567"/>
      <c r="E25" s="567"/>
      <c r="F25" s="567"/>
      <c r="G25" s="567"/>
    </row>
    <row r="26" spans="1:7" s="89" customFormat="1" ht="18" customHeight="1" x14ac:dyDescent="0.2">
      <c r="A26" s="567" t="s">
        <v>69</v>
      </c>
      <c r="B26" s="567"/>
      <c r="C26" s="567"/>
      <c r="D26" s="567"/>
      <c r="E26" s="567"/>
      <c r="F26" s="567"/>
      <c r="G26" s="567"/>
    </row>
    <row r="27" spans="1:7" s="89" customFormat="1" ht="18" customHeight="1" x14ac:dyDescent="0.2">
      <c r="A27" s="123"/>
      <c r="B27" s="86"/>
      <c r="C27" s="86"/>
      <c r="D27" s="124"/>
      <c r="E27" s="124"/>
      <c r="F27" s="124"/>
      <c r="G27" s="88"/>
    </row>
    <row r="28" spans="1:7" s="7" customFormat="1" ht="24" customHeight="1" x14ac:dyDescent="0.2">
      <c r="A28" s="508" t="s">
        <v>70</v>
      </c>
      <c r="B28" s="509"/>
      <c r="C28" s="509"/>
      <c r="D28" s="509"/>
      <c r="E28" s="509"/>
      <c r="F28" s="510"/>
      <c r="G28" s="67" t="str">
        <f>A6</f>
        <v>Vigilante Diurno</v>
      </c>
    </row>
    <row r="29" spans="1:7" s="7" customFormat="1" ht="18" customHeight="1" x14ac:dyDescent="0.2">
      <c r="A29" s="178">
        <v>1</v>
      </c>
      <c r="B29" s="546" t="s">
        <v>71</v>
      </c>
      <c r="C29" s="546"/>
      <c r="D29" s="546"/>
      <c r="E29" s="546"/>
      <c r="F29" s="546"/>
      <c r="G29" s="187" t="str">
        <f>G28</f>
        <v>Vigilante Diurno</v>
      </c>
    </row>
    <row r="30" spans="1:7" s="7" customFormat="1" ht="18" customHeight="1" x14ac:dyDescent="0.2">
      <c r="A30" s="178">
        <f t="shared" ref="A30:A35" si="0">A29+1</f>
        <v>2</v>
      </c>
      <c r="B30" s="546" t="s">
        <v>72</v>
      </c>
      <c r="C30" s="546"/>
      <c r="D30" s="546"/>
      <c r="E30" s="546"/>
      <c r="F30" s="546"/>
      <c r="G30" s="187"/>
    </row>
    <row r="31" spans="1:7" s="7" customFormat="1" ht="25.5" customHeight="1" x14ac:dyDescent="0.2">
      <c r="A31" s="178">
        <f t="shared" si="0"/>
        <v>3</v>
      </c>
      <c r="B31" s="563" t="s">
        <v>73</v>
      </c>
      <c r="C31" s="564"/>
      <c r="D31" s="564"/>
      <c r="E31" s="564"/>
      <c r="F31" s="565"/>
      <c r="G31" s="119">
        <v>3000</v>
      </c>
    </row>
    <row r="32" spans="1:7" s="7" customFormat="1" ht="18" customHeight="1" x14ac:dyDescent="0.2">
      <c r="A32" s="178">
        <f t="shared" si="0"/>
        <v>4</v>
      </c>
      <c r="B32" s="546" t="s">
        <v>74</v>
      </c>
      <c r="C32" s="546"/>
      <c r="D32" s="546"/>
      <c r="E32" s="546"/>
      <c r="F32" s="546"/>
      <c r="G32" s="190" t="str">
        <f>G28</f>
        <v>Vigilante Diurno</v>
      </c>
    </row>
    <row r="33" spans="1:9" s="7" customFormat="1" ht="18" customHeight="1" x14ac:dyDescent="0.2">
      <c r="A33" s="178">
        <f t="shared" si="0"/>
        <v>5</v>
      </c>
      <c r="B33" s="546" t="s">
        <v>75</v>
      </c>
      <c r="C33" s="546"/>
      <c r="D33" s="546"/>
      <c r="E33" s="546"/>
      <c r="F33" s="546"/>
      <c r="G33" s="188">
        <v>42736</v>
      </c>
    </row>
    <row r="34" spans="1:9" s="7" customFormat="1" ht="18" customHeight="1" x14ac:dyDescent="0.2">
      <c r="A34" s="218">
        <f t="shared" si="0"/>
        <v>6</v>
      </c>
      <c r="B34" s="547" t="s">
        <v>76</v>
      </c>
      <c r="C34" s="547"/>
      <c r="D34" s="547"/>
      <c r="E34" s="547"/>
      <c r="F34" s="548"/>
      <c r="G34" s="233">
        <f>PARAMETROS!C23</f>
        <v>1212</v>
      </c>
    </row>
    <row r="35" spans="1:9" s="213" customFormat="1" ht="9.75" customHeight="1" x14ac:dyDescent="0.2">
      <c r="A35" s="549">
        <f t="shared" si="0"/>
        <v>7</v>
      </c>
      <c r="B35" s="551" t="s">
        <v>77</v>
      </c>
      <c r="C35" s="552"/>
      <c r="D35" s="551" t="s">
        <v>78</v>
      </c>
      <c r="E35" s="552"/>
      <c r="F35" s="225" t="s">
        <v>79</v>
      </c>
      <c r="G35" s="212" t="s">
        <v>80</v>
      </c>
      <c r="I35" s="213" t="s">
        <v>81</v>
      </c>
    </row>
    <row r="36" spans="1:9" s="213" customFormat="1" ht="18.75" customHeight="1" x14ac:dyDescent="0.2">
      <c r="A36" s="550"/>
      <c r="B36" s="553">
        <v>5</v>
      </c>
      <c r="C36" s="554"/>
      <c r="D36" s="555">
        <v>0.06</v>
      </c>
      <c r="E36" s="556"/>
      <c r="F36" s="226">
        <v>22</v>
      </c>
      <c r="G36" s="214">
        <v>4</v>
      </c>
      <c r="H36" s="215" t="s">
        <v>82</v>
      </c>
      <c r="I36" s="213" t="s">
        <v>83</v>
      </c>
    </row>
    <row r="37" spans="1:9" s="7" customFormat="1" ht="18" customHeight="1" x14ac:dyDescent="0.2">
      <c r="A37" s="218">
        <f>A35+1</f>
        <v>8</v>
      </c>
      <c r="B37" s="557" t="s">
        <v>84</v>
      </c>
      <c r="C37" s="558"/>
      <c r="D37" s="219">
        <v>44</v>
      </c>
      <c r="E37" s="559" t="s">
        <v>85</v>
      </c>
      <c r="F37" s="560"/>
      <c r="G37" s="234">
        <f>ROUND(D37/6*30,0)</f>
        <v>220</v>
      </c>
    </row>
    <row r="38" spans="1:9" s="7" customFormat="1" ht="10.5" x14ac:dyDescent="0.2">
      <c r="A38" s="122"/>
      <c r="B38" s="220" t="s">
        <v>86</v>
      </c>
      <c r="C38" s="208"/>
      <c r="D38" s="210"/>
      <c r="E38" s="210"/>
      <c r="F38" s="120"/>
      <c r="G38" s="211"/>
      <c r="H38" s="209"/>
    </row>
    <row r="39" spans="1:9" s="7" customFormat="1" ht="10.5" x14ac:dyDescent="0.2">
      <c r="A39" s="122"/>
      <c r="B39" s="220" t="s">
        <v>87</v>
      </c>
      <c r="C39" s="208"/>
      <c r="D39" s="210"/>
      <c r="E39" s="210"/>
      <c r="F39" s="120"/>
      <c r="G39" s="211"/>
      <c r="H39" s="209"/>
    </row>
    <row r="40" spans="1:9" s="7" customFormat="1" ht="9" customHeight="1" x14ac:dyDescent="0.2">
      <c r="A40" s="122"/>
      <c r="B40" s="220" t="s">
        <v>88</v>
      </c>
      <c r="C40" s="265"/>
      <c r="D40" s="265"/>
      <c r="E40" s="265"/>
      <c r="F40" s="265"/>
      <c r="G40" s="117"/>
      <c r="H40" s="7" t="s">
        <v>89</v>
      </c>
    </row>
    <row r="41" spans="1:9" s="7" customFormat="1" ht="9" customHeight="1" x14ac:dyDescent="0.2">
      <c r="A41" s="122"/>
      <c r="B41" s="220"/>
      <c r="C41" s="265"/>
      <c r="D41" s="265"/>
      <c r="E41" s="265"/>
      <c r="F41" s="265"/>
      <c r="G41" s="117"/>
    </row>
    <row r="42" spans="1:9" s="89" customFormat="1" ht="18" customHeight="1" x14ac:dyDescent="0.2">
      <c r="A42" s="85" t="s">
        <v>9</v>
      </c>
      <c r="B42" s="86"/>
      <c r="C42" s="86"/>
      <c r="D42" s="87"/>
      <c r="E42" s="87"/>
      <c r="F42" s="87"/>
      <c r="G42" s="88"/>
    </row>
    <row r="43" spans="1:9" s="7" customFormat="1" ht="18" customHeight="1" x14ac:dyDescent="0.2">
      <c r="A43" s="6" t="s">
        <v>10</v>
      </c>
      <c r="B43" s="62" t="s">
        <v>90</v>
      </c>
      <c r="C43" s="275"/>
      <c r="D43" s="275"/>
      <c r="E43" s="275"/>
      <c r="F43" s="19" t="s">
        <v>12</v>
      </c>
      <c r="G43" s="60" t="s">
        <v>47</v>
      </c>
    </row>
    <row r="44" spans="1:9" s="7" customFormat="1" ht="18" customHeight="1" x14ac:dyDescent="0.2">
      <c r="A44" s="8" t="s">
        <v>13</v>
      </c>
      <c r="B44" s="561" t="s">
        <v>91</v>
      </c>
      <c r="C44" s="562"/>
      <c r="D44" s="562"/>
      <c r="E44" s="562"/>
      <c r="F44" s="21" t="s">
        <v>0</v>
      </c>
      <c r="G44" s="174">
        <f>G31</f>
        <v>3000</v>
      </c>
    </row>
    <row r="45" spans="1:9" s="7" customFormat="1" ht="18" customHeight="1" x14ac:dyDescent="0.2">
      <c r="A45" s="10" t="s">
        <v>15</v>
      </c>
      <c r="B45" s="529" t="s">
        <v>92</v>
      </c>
      <c r="C45" s="530"/>
      <c r="D45" s="530"/>
      <c r="E45" s="530"/>
      <c r="F45" s="69">
        <v>0.3</v>
      </c>
      <c r="G45" s="175">
        <f>ROUND($G$44*$F45,2)</f>
        <v>900</v>
      </c>
    </row>
    <row r="46" spans="1:9" s="7" customFormat="1" ht="18" customHeight="1" x14ac:dyDescent="0.2">
      <c r="A46" s="10" t="s">
        <v>17</v>
      </c>
      <c r="B46" s="496" t="s">
        <v>93</v>
      </c>
      <c r="C46" s="497"/>
      <c r="D46" s="497"/>
      <c r="E46" s="497"/>
      <c r="F46" s="69"/>
      <c r="G46" s="175">
        <f>ROUND($G$34*$F46,2)</f>
        <v>0</v>
      </c>
    </row>
    <row r="47" spans="1:9" s="7" customFormat="1" ht="10.9" customHeight="1" x14ac:dyDescent="0.2">
      <c r="A47" s="221" t="s">
        <v>19</v>
      </c>
      <c r="B47" s="544" t="s">
        <v>94</v>
      </c>
      <c r="C47" s="545"/>
      <c r="D47" s="545"/>
      <c r="E47" s="222"/>
      <c r="F47" s="223">
        <f>IF(ISNUMBER(E47),20%,0)</f>
        <v>0</v>
      </c>
      <c r="G47" s="224">
        <f>IFERROR(ROUND(SUM(G44:G46)/G37*E47*F47,2),0)</f>
        <v>0</v>
      </c>
    </row>
    <row r="48" spans="1:9" s="7" customFormat="1" ht="18" customHeight="1" x14ac:dyDescent="0.2">
      <c r="A48" s="10" t="s">
        <v>21</v>
      </c>
      <c r="B48" s="529" t="s">
        <v>95</v>
      </c>
      <c r="C48" s="530"/>
      <c r="D48" s="530"/>
      <c r="E48" s="530"/>
      <c r="F48" s="21">
        <f>IF(ISERR(ROUND(G48/$G$51,2)),"",ROUND(G48/$G$51,2))</f>
        <v>0</v>
      </c>
      <c r="G48" s="175"/>
    </row>
    <row r="49" spans="1:7" s="7" customFormat="1" ht="18" customHeight="1" x14ac:dyDescent="0.2">
      <c r="A49" s="10" t="s">
        <v>23</v>
      </c>
      <c r="B49" s="529" t="s">
        <v>96</v>
      </c>
      <c r="C49" s="530"/>
      <c r="D49" s="530"/>
      <c r="E49" s="530"/>
      <c r="F49" s="21">
        <f>IF(ISERR(ROUND(G49/$G$51,2)),"",ROUND(G49/$G$51,2))</f>
        <v>0</v>
      </c>
      <c r="G49" s="175"/>
    </row>
    <row r="50" spans="1:7" s="7" customFormat="1" ht="18" customHeight="1" x14ac:dyDescent="0.2">
      <c r="A50" s="177" t="s">
        <v>25</v>
      </c>
      <c r="B50" s="529" t="s">
        <v>51</v>
      </c>
      <c r="C50" s="530"/>
      <c r="D50" s="530"/>
      <c r="E50" s="530"/>
      <c r="F50" s="22">
        <f>IF(ISERR(ROUND(G50/$G$51,2)),"",ROUND(G50/$G$51,2))</f>
        <v>0</v>
      </c>
      <c r="G50" s="176"/>
    </row>
    <row r="51" spans="1:7" s="7" customFormat="1" ht="18" customHeight="1" x14ac:dyDescent="0.2">
      <c r="A51" s="13"/>
      <c r="B51" s="23" t="s">
        <v>29</v>
      </c>
      <c r="C51" s="52"/>
      <c r="D51" s="52"/>
      <c r="E51" s="52"/>
      <c r="F51" s="24"/>
      <c r="G51" s="160">
        <f>SUM(G44:G50)</f>
        <v>3900</v>
      </c>
    </row>
    <row r="52" spans="1:7" x14ac:dyDescent="0.15">
      <c r="A52" s="531" t="s">
        <v>30</v>
      </c>
      <c r="B52" s="513"/>
      <c r="C52" s="513"/>
      <c r="D52" s="513"/>
      <c r="E52" s="513"/>
      <c r="F52" s="513"/>
      <c r="G52" s="532"/>
    </row>
    <row r="53" spans="1:7" ht="14.25" customHeight="1" x14ac:dyDescent="0.15">
      <c r="A53" s="533"/>
      <c r="B53" s="534"/>
      <c r="C53" s="534"/>
      <c r="D53" s="534"/>
      <c r="E53" s="534"/>
      <c r="F53" s="534"/>
      <c r="G53" s="535"/>
    </row>
    <row r="54" spans="1:7" s="18" customFormat="1" ht="18" customHeight="1" x14ac:dyDescent="0.15">
      <c r="A54" s="15"/>
      <c r="B54" s="57"/>
      <c r="C54" s="16"/>
      <c r="D54" s="16"/>
      <c r="E54" s="16"/>
      <c r="F54" s="16"/>
      <c r="G54" s="17"/>
    </row>
    <row r="55" spans="1:7" s="89" customFormat="1" ht="18" customHeight="1" x14ac:dyDescent="0.2">
      <c r="A55" s="123" t="s">
        <v>97</v>
      </c>
      <c r="B55" s="86"/>
      <c r="C55" s="86"/>
      <c r="D55" s="124"/>
      <c r="E55" s="124"/>
      <c r="F55" s="124"/>
      <c r="G55" s="88"/>
    </row>
    <row r="56" spans="1:7" s="18" customFormat="1" ht="40.5" customHeight="1" x14ac:dyDescent="0.15">
      <c r="A56" s="28" t="s">
        <v>102</v>
      </c>
      <c r="B56" s="536" t="s">
        <v>103</v>
      </c>
      <c r="C56" s="536"/>
      <c r="D56" s="536"/>
      <c r="E56" s="536"/>
      <c r="F56" s="19" t="s">
        <v>12</v>
      </c>
      <c r="G56" s="60" t="s">
        <v>47</v>
      </c>
    </row>
    <row r="57" spans="1:7" s="18" customFormat="1" ht="18" customHeight="1" x14ac:dyDescent="0.15">
      <c r="A57" s="8" t="s">
        <v>13</v>
      </c>
      <c r="B57" s="262" t="s">
        <v>14</v>
      </c>
      <c r="C57" s="263"/>
      <c r="D57" s="263"/>
      <c r="E57" s="263"/>
      <c r="F57" s="216">
        <f>PARAMETROS!C33</f>
        <v>0.2</v>
      </c>
      <c r="G57" s="32">
        <f>ROUND($G$51*F57,2)</f>
        <v>780</v>
      </c>
    </row>
    <row r="58" spans="1:7" s="18" customFormat="1" ht="18" customHeight="1" x14ac:dyDescent="0.15">
      <c r="A58" s="10" t="s">
        <v>15</v>
      </c>
      <c r="B58" s="264" t="s">
        <v>16</v>
      </c>
      <c r="C58" s="265"/>
      <c r="D58" s="265"/>
      <c r="E58" s="265"/>
      <c r="F58" s="53">
        <f>PARAMETROS!C34</f>
        <v>2.5000000000000001E-2</v>
      </c>
      <c r="G58" s="33">
        <f t="shared" ref="G58:G64" si="1">ROUND($G$51*F58,2)</f>
        <v>97.5</v>
      </c>
    </row>
    <row r="59" spans="1:7" s="18" customFormat="1" ht="18" customHeight="1" x14ac:dyDescent="0.15">
      <c r="A59" s="10" t="s">
        <v>17</v>
      </c>
      <c r="B59" s="264" t="s">
        <v>18</v>
      </c>
      <c r="C59" s="265"/>
      <c r="D59" s="265"/>
      <c r="E59" s="265"/>
      <c r="F59" s="53">
        <f>PARAMETROS!C35</f>
        <v>0.03</v>
      </c>
      <c r="G59" s="33">
        <f t="shared" si="1"/>
        <v>117</v>
      </c>
    </row>
    <row r="60" spans="1:7" s="18" customFormat="1" ht="18" customHeight="1" x14ac:dyDescent="0.15">
      <c r="A60" s="10" t="s">
        <v>19</v>
      </c>
      <c r="B60" s="264" t="s">
        <v>20</v>
      </c>
      <c r="C60" s="265"/>
      <c r="D60" s="265"/>
      <c r="E60" s="265"/>
      <c r="F60" s="53">
        <f>PARAMETROS!C36</f>
        <v>1.4999999999999999E-2</v>
      </c>
      <c r="G60" s="33">
        <f t="shared" si="1"/>
        <v>58.5</v>
      </c>
    </row>
    <row r="61" spans="1:7" s="18" customFormat="1" ht="18" customHeight="1" x14ac:dyDescent="0.15">
      <c r="A61" s="10" t="s">
        <v>21</v>
      </c>
      <c r="B61" s="264" t="s">
        <v>22</v>
      </c>
      <c r="C61" s="265"/>
      <c r="D61" s="265"/>
      <c r="E61" s="265"/>
      <c r="F61" s="53">
        <f>PARAMETROS!C37</f>
        <v>0.01</v>
      </c>
      <c r="G61" s="33">
        <f t="shared" si="1"/>
        <v>39</v>
      </c>
    </row>
    <row r="62" spans="1:7" s="18" customFormat="1" ht="18" customHeight="1" x14ac:dyDescent="0.15">
      <c r="A62" s="10" t="s">
        <v>23</v>
      </c>
      <c r="B62" s="264" t="s">
        <v>24</v>
      </c>
      <c r="C62" s="265"/>
      <c r="D62" s="265"/>
      <c r="E62" s="265"/>
      <c r="F62" s="53">
        <f>PARAMETROS!C38</f>
        <v>6.0000000000000001E-3</v>
      </c>
      <c r="G62" s="33">
        <f t="shared" si="1"/>
        <v>23.4</v>
      </c>
    </row>
    <row r="63" spans="1:7" s="18" customFormat="1" ht="18" customHeight="1" x14ac:dyDescent="0.15">
      <c r="A63" s="10" t="s">
        <v>25</v>
      </c>
      <c r="B63" s="264" t="s">
        <v>26</v>
      </c>
      <c r="C63" s="265"/>
      <c r="D63" s="265"/>
      <c r="E63" s="265"/>
      <c r="F63" s="53">
        <f>PARAMETROS!C39</f>
        <v>2E-3</v>
      </c>
      <c r="G63" s="33">
        <f t="shared" si="1"/>
        <v>7.8</v>
      </c>
    </row>
    <row r="64" spans="1:7" s="18" customFormat="1" ht="18" customHeight="1" x14ac:dyDescent="0.15">
      <c r="A64" s="177" t="s">
        <v>27</v>
      </c>
      <c r="B64" s="273" t="s">
        <v>28</v>
      </c>
      <c r="C64" s="274"/>
      <c r="D64" s="274"/>
      <c r="E64" s="274"/>
      <c r="F64" s="217">
        <f>PARAMETROS!C40</f>
        <v>0.08</v>
      </c>
      <c r="G64" s="34">
        <f t="shared" si="1"/>
        <v>312</v>
      </c>
    </row>
    <row r="65" spans="1:12" s="18" customFormat="1" ht="18" customHeight="1" x14ac:dyDescent="0.15">
      <c r="A65" s="179"/>
      <c r="B65" s="275" t="s">
        <v>101</v>
      </c>
      <c r="C65" s="275"/>
      <c r="D65" s="275"/>
      <c r="E65" s="275"/>
      <c r="F65" s="47">
        <f>SUM(F57:F64)</f>
        <v>0.36800000000000005</v>
      </c>
      <c r="G65" s="14">
        <f>SUM(G57:G64)</f>
        <v>1435.2</v>
      </c>
    </row>
    <row r="66" spans="1:12" s="18" customFormat="1" ht="45" customHeight="1" x14ac:dyDescent="0.15">
      <c r="A66" s="531" t="s">
        <v>178</v>
      </c>
      <c r="B66" s="513"/>
      <c r="C66" s="513"/>
      <c r="D66" s="513"/>
      <c r="E66" s="513"/>
      <c r="F66" s="513"/>
      <c r="G66" s="532"/>
    </row>
    <row r="67" spans="1:12" s="18" customFormat="1" ht="18" customHeight="1" x14ac:dyDescent="0.15">
      <c r="A67" s="25"/>
      <c r="B67" s="58"/>
      <c r="C67" s="26"/>
      <c r="D67" s="26"/>
      <c r="E67" s="26"/>
      <c r="F67" s="26"/>
      <c r="G67" s="27"/>
    </row>
    <row r="68" spans="1:12" s="18" customFormat="1" ht="25.5" customHeight="1" x14ac:dyDescent="0.15">
      <c r="A68" s="29" t="s">
        <v>98</v>
      </c>
      <c r="B68" s="61" t="s">
        <v>99</v>
      </c>
      <c r="C68" s="30"/>
      <c r="D68" s="55"/>
      <c r="E68" s="55"/>
      <c r="F68" s="19" t="s">
        <v>12</v>
      </c>
      <c r="G68" s="60" t="s">
        <v>47</v>
      </c>
    </row>
    <row r="69" spans="1:12" s="18" customFormat="1" ht="18" customHeight="1" x14ac:dyDescent="0.15">
      <c r="A69" s="8" t="s">
        <v>13</v>
      </c>
      <c r="B69" s="262" t="s">
        <v>100</v>
      </c>
      <c r="C69" s="263"/>
      <c r="D69" s="263"/>
      <c r="E69" s="263"/>
      <c r="F69" s="53">
        <f>ROUND(G69/$G$51,4)</f>
        <v>8.3299999999999999E-2</v>
      </c>
      <c r="G69" s="32">
        <f>ROUND(G$51/12,2)</f>
        <v>325</v>
      </c>
    </row>
    <row r="70" spans="1:12" s="18" customFormat="1" ht="18" customHeight="1" x14ac:dyDescent="0.15">
      <c r="A70" s="10" t="s">
        <v>15</v>
      </c>
      <c r="B70" s="264" t="s">
        <v>179</v>
      </c>
      <c r="C70" s="265"/>
      <c r="D70" s="265"/>
      <c r="E70" s="265"/>
      <c r="F70" s="53">
        <f>ROUND(G70/$G$51,4)</f>
        <v>2.7799999999999998E-2</v>
      </c>
      <c r="G70" s="34">
        <f>ROUND(G$51/3/12,2)</f>
        <v>108.33</v>
      </c>
    </row>
    <row r="71" spans="1:12" s="18" customFormat="1" ht="18" customHeight="1" x14ac:dyDescent="0.15">
      <c r="A71" s="179"/>
      <c r="B71" s="275" t="s">
        <v>173</v>
      </c>
      <c r="C71" s="275"/>
      <c r="D71" s="275"/>
      <c r="E71" s="275"/>
      <c r="F71" s="47"/>
      <c r="G71" s="14">
        <f>SUM(G69:G70)</f>
        <v>433.33</v>
      </c>
    </row>
    <row r="72" spans="1:12" s="237" customFormat="1" ht="22.5" customHeight="1" x14ac:dyDescent="0.15">
      <c r="A72" s="235" t="s">
        <v>17</v>
      </c>
      <c r="B72" s="537" t="s">
        <v>180</v>
      </c>
      <c r="C72" s="538"/>
      <c r="D72" s="538"/>
      <c r="E72" s="538"/>
      <c r="F72" s="539"/>
      <c r="G72" s="236">
        <f>ROUND(G71*$F$65,2)</f>
        <v>159.47</v>
      </c>
      <c r="K72" s="237" t="s">
        <v>181</v>
      </c>
    </row>
    <row r="73" spans="1:12" s="237" customFormat="1" ht="18" customHeight="1" x14ac:dyDescent="0.15">
      <c r="A73" s="238"/>
      <c r="B73" s="239" t="s">
        <v>182</v>
      </c>
      <c r="C73" s="239"/>
      <c r="D73" s="239"/>
      <c r="E73" s="239"/>
      <c r="F73" s="240">
        <f>SUM(F69:F72)</f>
        <v>0.1111</v>
      </c>
      <c r="G73" s="241">
        <f>SUM(G71:G72)</f>
        <v>592.79999999999995</v>
      </c>
    </row>
    <row r="74" spans="1:12" s="18" customFormat="1" ht="81" customHeight="1" x14ac:dyDescent="0.15">
      <c r="A74" s="531" t="s">
        <v>183</v>
      </c>
      <c r="B74" s="513"/>
      <c r="C74" s="513"/>
      <c r="D74" s="513"/>
      <c r="E74" s="513"/>
      <c r="F74" s="513"/>
      <c r="G74" s="532"/>
    </row>
    <row r="75" spans="1:12" s="18" customFormat="1" ht="10.5" x14ac:dyDescent="0.15">
      <c r="A75" s="270"/>
      <c r="B75" s="270"/>
      <c r="C75" s="270"/>
      <c r="D75" s="270"/>
      <c r="E75" s="270"/>
      <c r="F75" s="270"/>
      <c r="G75" s="270"/>
    </row>
    <row r="76" spans="1:12" s="18" customFormat="1" ht="25.5" customHeight="1" x14ac:dyDescent="0.15">
      <c r="A76" s="29" t="s">
        <v>32</v>
      </c>
      <c r="B76" s="517" t="s">
        <v>104</v>
      </c>
      <c r="C76" s="517"/>
      <c r="D76" s="517"/>
      <c r="E76" s="517"/>
      <c r="F76" s="540"/>
      <c r="G76" s="60" t="s">
        <v>47</v>
      </c>
    </row>
    <row r="77" spans="1:12" s="7" customFormat="1" ht="24.75" customHeight="1" x14ac:dyDescent="0.2">
      <c r="A77" s="8" t="s">
        <v>13</v>
      </c>
      <c r="B77" s="541" t="s">
        <v>105</v>
      </c>
      <c r="C77" s="542"/>
      <c r="D77" s="542"/>
      <c r="E77" s="542"/>
      <c r="F77" s="543"/>
      <c r="G77" s="9">
        <f>IF((G31*0.06)&gt;(B36*F36*G36),B36*F36*G36,(B36*F36*G36)-(G31*0.06))</f>
        <v>260</v>
      </c>
      <c r="H77" s="68" t="s">
        <v>106</v>
      </c>
      <c r="I77" s="68"/>
      <c r="K77" s="68"/>
    </row>
    <row r="78" spans="1:12" s="7" customFormat="1" ht="18" customHeight="1" x14ac:dyDescent="0.2">
      <c r="A78" s="10" t="s">
        <v>15</v>
      </c>
      <c r="B78" s="264" t="s">
        <v>35</v>
      </c>
      <c r="C78" s="265"/>
      <c r="D78" s="265"/>
      <c r="E78" s="265"/>
      <c r="F78" s="21"/>
      <c r="G78" s="11">
        <f>PARAMETROS!C47</f>
        <v>0</v>
      </c>
      <c r="H78" s="68" t="s">
        <v>107</v>
      </c>
      <c r="I78" s="68">
        <f>B36*G36*22</f>
        <v>440</v>
      </c>
      <c r="K78" s="68"/>
      <c r="L78" s="68"/>
    </row>
    <row r="79" spans="1:12" s="7" customFormat="1" ht="18" customHeight="1" x14ac:dyDescent="0.2">
      <c r="A79" s="10" t="s">
        <v>17</v>
      </c>
      <c r="B79" s="264" t="s">
        <v>36</v>
      </c>
      <c r="C79" s="265"/>
      <c r="D79" s="265"/>
      <c r="E79" s="265"/>
      <c r="F79" s="21"/>
      <c r="G79" s="11">
        <f>PARAMETROS!C48</f>
        <v>0</v>
      </c>
      <c r="H79" s="68" t="s">
        <v>108</v>
      </c>
      <c r="I79" s="68">
        <f>G31*0.06</f>
        <v>180</v>
      </c>
      <c r="J79" s="68">
        <f>I79-I78</f>
        <v>-260</v>
      </c>
    </row>
    <row r="80" spans="1:12" s="213" customFormat="1" ht="18" customHeight="1" x14ac:dyDescent="0.2">
      <c r="A80" s="235" t="s">
        <v>19</v>
      </c>
      <c r="B80" s="242" t="s">
        <v>37</v>
      </c>
      <c r="C80" s="243"/>
      <c r="D80" s="243"/>
      <c r="E80" s="243"/>
      <c r="F80" s="244"/>
      <c r="G80" s="245">
        <f>PARAMETROS!C49</f>
        <v>0</v>
      </c>
    </row>
    <row r="81" spans="1:7" s="213" customFormat="1" ht="18" customHeight="1" x14ac:dyDescent="0.2">
      <c r="A81" s="235" t="s">
        <v>21</v>
      </c>
      <c r="B81" s="242" t="s">
        <v>38</v>
      </c>
      <c r="C81" s="243"/>
      <c r="D81" s="243"/>
      <c r="E81" s="243"/>
      <c r="F81" s="244"/>
      <c r="G81" s="245">
        <f>PARAMETROS!C50</f>
        <v>0</v>
      </c>
    </row>
    <row r="82" spans="1:7" s="213" customFormat="1" ht="18" customHeight="1" x14ac:dyDescent="0.2">
      <c r="A82" s="235" t="s">
        <v>23</v>
      </c>
      <c r="B82" s="242" t="s">
        <v>39</v>
      </c>
      <c r="C82" s="243"/>
      <c r="D82" s="243"/>
      <c r="E82" s="243"/>
      <c r="F82" s="244"/>
      <c r="G82" s="245">
        <f>PARAMETROS!C51</f>
        <v>0</v>
      </c>
    </row>
    <row r="83" spans="1:7" s="213" customFormat="1" ht="18" customHeight="1" x14ac:dyDescent="0.2">
      <c r="A83" s="235" t="s">
        <v>25</v>
      </c>
      <c r="B83" s="242" t="s">
        <v>40</v>
      </c>
      <c r="C83" s="243"/>
      <c r="D83" s="243"/>
      <c r="E83" s="243"/>
      <c r="F83" s="244"/>
      <c r="G83" s="245">
        <f>PARAMETROS!C52</f>
        <v>0</v>
      </c>
    </row>
    <row r="84" spans="1:7" s="213" customFormat="1" ht="18" customHeight="1" x14ac:dyDescent="0.2">
      <c r="A84" s="235" t="s">
        <v>27</v>
      </c>
      <c r="B84" s="242" t="s">
        <v>41</v>
      </c>
      <c r="C84" s="243"/>
      <c r="D84" s="243"/>
      <c r="E84" s="243"/>
      <c r="F84" s="244"/>
      <c r="G84" s="245">
        <f>PARAMETROS!C53</f>
        <v>0</v>
      </c>
    </row>
    <row r="85" spans="1:7" s="7" customFormat="1" ht="18" customHeight="1" x14ac:dyDescent="0.2">
      <c r="A85" s="177" t="s">
        <v>10</v>
      </c>
      <c r="B85" s="273" t="s">
        <v>42</v>
      </c>
      <c r="C85" s="274"/>
      <c r="D85" s="274"/>
      <c r="E85" s="274"/>
      <c r="F85" s="22"/>
      <c r="G85" s="11">
        <f>PARAMETROS!C54</f>
        <v>0</v>
      </c>
    </row>
    <row r="86" spans="1:7" s="7" customFormat="1" ht="18" customHeight="1" x14ac:dyDescent="0.2">
      <c r="A86" s="150"/>
      <c r="B86" s="151" t="s">
        <v>29</v>
      </c>
      <c r="C86" s="152"/>
      <c r="D86" s="152"/>
      <c r="E86" s="152"/>
      <c r="F86" s="153"/>
      <c r="G86" s="9">
        <f>SUM(G77:G85)</f>
        <v>260</v>
      </c>
    </row>
    <row r="87" spans="1:7" s="18" customFormat="1" ht="10.5" x14ac:dyDescent="0.15">
      <c r="A87" s="503" t="s">
        <v>43</v>
      </c>
      <c r="B87" s="487"/>
      <c r="C87" s="487"/>
      <c r="D87" s="487"/>
      <c r="E87" s="487"/>
      <c r="F87" s="487"/>
      <c r="G87" s="504"/>
    </row>
    <row r="88" spans="1:7" s="18" customFormat="1" ht="24" customHeight="1" x14ac:dyDescent="0.15">
      <c r="A88" s="514" t="s">
        <v>44</v>
      </c>
      <c r="B88" s="515"/>
      <c r="C88" s="515"/>
      <c r="D88" s="515"/>
      <c r="E88" s="515"/>
      <c r="F88" s="515"/>
      <c r="G88" s="516"/>
    </row>
    <row r="89" spans="1:7" s="18" customFormat="1" ht="24" customHeight="1" x14ac:dyDescent="0.15">
      <c r="A89" s="70"/>
      <c r="B89" s="70"/>
      <c r="C89" s="70"/>
      <c r="D89" s="70"/>
      <c r="E89" s="70"/>
      <c r="F89" s="70"/>
      <c r="G89" s="70"/>
    </row>
    <row r="90" spans="1:7" s="133" customFormat="1" ht="24" customHeight="1" x14ac:dyDescent="0.15">
      <c r="A90" s="195" t="s">
        <v>109</v>
      </c>
      <c r="B90" s="196"/>
      <c r="C90" s="197"/>
      <c r="D90" s="197"/>
      <c r="E90" s="197"/>
      <c r="F90" s="197"/>
      <c r="G90" s="198"/>
    </row>
    <row r="91" spans="1:7" s="134" customFormat="1" ht="24" customHeight="1" x14ac:dyDescent="0.15">
      <c r="A91" s="199">
        <v>2</v>
      </c>
      <c r="B91" s="200" t="s">
        <v>110</v>
      </c>
      <c r="C91" s="201"/>
      <c r="D91" s="201"/>
      <c r="E91" s="201"/>
      <c r="F91" s="201"/>
      <c r="G91" s="202"/>
    </row>
    <row r="92" spans="1:7" s="133" customFormat="1" ht="24" customHeight="1" x14ac:dyDescent="0.15">
      <c r="A92" s="178" t="s">
        <v>98</v>
      </c>
      <c r="B92" s="246" t="s">
        <v>184</v>
      </c>
      <c r="C92" s="197"/>
      <c r="D92" s="197"/>
      <c r="E92" s="197"/>
      <c r="F92" s="198"/>
      <c r="G92" s="203">
        <f>G73</f>
        <v>592.79999999999995</v>
      </c>
    </row>
    <row r="93" spans="1:7" s="133" customFormat="1" ht="24" customHeight="1" x14ac:dyDescent="0.15">
      <c r="A93" s="178" t="s">
        <v>102</v>
      </c>
      <c r="B93" s="196" t="s">
        <v>112</v>
      </c>
      <c r="C93" s="197"/>
      <c r="D93" s="197"/>
      <c r="E93" s="197"/>
      <c r="F93" s="198"/>
      <c r="G93" s="203">
        <f>G65</f>
        <v>1435.2</v>
      </c>
    </row>
    <row r="94" spans="1:7" s="133" customFormat="1" ht="24" customHeight="1" x14ac:dyDescent="0.15">
      <c r="A94" s="178" t="s">
        <v>32</v>
      </c>
      <c r="B94" s="196" t="s">
        <v>113</v>
      </c>
      <c r="C94" s="197"/>
      <c r="D94" s="197"/>
      <c r="E94" s="197"/>
      <c r="F94" s="198"/>
      <c r="G94" s="203">
        <f>G86</f>
        <v>260</v>
      </c>
    </row>
    <row r="95" spans="1:7" s="133" customFormat="1" ht="18" customHeight="1" x14ac:dyDescent="0.15">
      <c r="A95" s="204"/>
      <c r="B95" s="205" t="s">
        <v>114</v>
      </c>
      <c r="C95" s="205"/>
      <c r="D95" s="206" t="s">
        <v>101</v>
      </c>
      <c r="E95" s="205"/>
      <c r="F95" s="207"/>
      <c r="G95" s="31">
        <f>SUM(G92:G94)</f>
        <v>2288</v>
      </c>
    </row>
    <row r="96" spans="1:7" s="18" customFormat="1" ht="12.75" customHeight="1" x14ac:dyDescent="0.15">
      <c r="A96" s="25"/>
      <c r="B96" s="58"/>
      <c r="C96" s="26"/>
      <c r="D96" s="26"/>
      <c r="E96" s="26"/>
      <c r="F96" s="26"/>
      <c r="G96" s="27"/>
    </row>
    <row r="97" spans="1:9" s="89" customFormat="1" ht="18" customHeight="1" x14ac:dyDescent="0.2">
      <c r="A97" s="123" t="s">
        <v>115</v>
      </c>
      <c r="B97" s="86"/>
      <c r="C97" s="86"/>
      <c r="D97" s="124"/>
      <c r="E97" s="124"/>
      <c r="F97" s="124"/>
      <c r="G97" s="88"/>
    </row>
    <row r="98" spans="1:9" s="18" customFormat="1" ht="18" customHeight="1" x14ac:dyDescent="0.15">
      <c r="A98" s="28">
        <v>3</v>
      </c>
      <c r="B98" s="517" t="s">
        <v>116</v>
      </c>
      <c r="C98" s="517"/>
      <c r="D98" s="517"/>
      <c r="E98" s="517"/>
      <c r="F98" s="83" t="s">
        <v>185</v>
      </c>
      <c r="G98" s="31"/>
    </row>
    <row r="99" spans="1:9" s="18" customFormat="1" ht="18.75" customHeight="1" x14ac:dyDescent="0.15">
      <c r="A99" s="8" t="s">
        <v>13</v>
      </c>
      <c r="B99" s="518" t="str">
        <f>"Aviso prévio indenizado (probabilidade de ocorrência = "&amp;(F99*100)&amp;"%)"</f>
        <v>Aviso prévio indenizado (probabilidade de ocorrência = 5%)</v>
      </c>
      <c r="C99" s="519"/>
      <c r="D99" s="519"/>
      <c r="E99" s="519"/>
      <c r="F99" s="72">
        <v>0.05</v>
      </c>
      <c r="G99" s="32">
        <f>ROUND(G$51/12*$F99,2)</f>
        <v>16.25</v>
      </c>
      <c r="H99" s="66"/>
      <c r="I99" s="64"/>
    </row>
    <row r="100" spans="1:9" s="18" customFormat="1" ht="18.75" customHeight="1" x14ac:dyDescent="0.15">
      <c r="A100" s="10" t="s">
        <v>15</v>
      </c>
      <c r="B100" s="264" t="s">
        <v>186</v>
      </c>
      <c r="C100" s="265"/>
      <c r="D100" s="265"/>
      <c r="E100" s="265"/>
      <c r="F100" s="53">
        <f>IF(F99&gt;0,F64,0)</f>
        <v>0.08</v>
      </c>
      <c r="G100" s="33">
        <f>ROUND(G99*$F$100,2)</f>
        <v>1.3</v>
      </c>
      <c r="H100" s="64"/>
    </row>
    <row r="101" spans="1:9" s="18" customFormat="1" ht="18.75" customHeight="1" x14ac:dyDescent="0.15">
      <c r="A101" s="10" t="s">
        <v>17</v>
      </c>
      <c r="B101" s="264" t="s">
        <v>120</v>
      </c>
      <c r="C101" s="265"/>
      <c r="D101" s="265"/>
      <c r="E101" s="265"/>
      <c r="F101" s="53"/>
      <c r="G101" s="75" t="s">
        <v>0</v>
      </c>
      <c r="H101" s="66"/>
    </row>
    <row r="102" spans="1:9" s="18" customFormat="1" ht="18.75" customHeight="1" x14ac:dyDescent="0.15">
      <c r="A102" s="74" t="s">
        <v>121</v>
      </c>
      <c r="B102" s="267" t="s">
        <v>122</v>
      </c>
      <c r="C102" s="268"/>
      <c r="D102" s="268"/>
      <c r="E102" s="268"/>
      <c r="F102" s="53">
        <f>IF(F99&gt;0,40%,0)</f>
        <v>0.4</v>
      </c>
      <c r="G102" s="33">
        <f>ROUND(G$51*$F$100*$F$102*$F$99,2)</f>
        <v>6.24</v>
      </c>
      <c r="H102" s="66"/>
      <c r="I102" s="64">
        <f>G104*10</f>
        <v>758.3</v>
      </c>
    </row>
    <row r="103" spans="1:9" s="18" customFormat="1" ht="18.75" customHeight="1" x14ac:dyDescent="0.15">
      <c r="A103" s="74" t="s">
        <v>123</v>
      </c>
      <c r="B103" s="520" t="s">
        <v>124</v>
      </c>
      <c r="C103" s="521"/>
      <c r="D103" s="521"/>
      <c r="E103" s="521"/>
      <c r="F103" s="53">
        <f>IF(F99&gt;0,10%,0)</f>
        <v>0.1</v>
      </c>
      <c r="G103" s="33">
        <f>ROUND(G$51*$F$100*F103*$F$99,2)</f>
        <v>1.56</v>
      </c>
      <c r="H103" s="64"/>
    </row>
    <row r="104" spans="1:9" s="18" customFormat="1" ht="18.75" customHeight="1" x14ac:dyDescent="0.15">
      <c r="A104" s="10" t="s">
        <v>19</v>
      </c>
      <c r="B104" s="522" t="str">
        <f>"Aviso prévio trabalhado (ocorrência = "&amp;(F104*100)&amp;"%) - "&amp;I104</f>
        <v>Aviso prévio trabalhado (ocorrência = 100%) - 1º ANO DE CONTRATO</v>
      </c>
      <c r="C104" s="523"/>
      <c r="D104" s="523"/>
      <c r="E104" s="523"/>
      <c r="F104" s="53">
        <f>IF(PARAMETROS!C25="Sim",10%,100%)</f>
        <v>1</v>
      </c>
      <c r="G104" s="33">
        <f>ROUND((((G$51 / 30) * 7) / 12)*F104,2)</f>
        <v>75.83</v>
      </c>
      <c r="H104" s="64"/>
      <c r="I104" s="18" t="str">
        <f>IF(PARAMETROS!C25="Sim", "APÓS PRORROGAÇÃO", "1º ANO DE CONTRATO")</f>
        <v>1º ANO DE CONTRATO</v>
      </c>
    </row>
    <row r="105" spans="1:9" s="18" customFormat="1" ht="18.75" customHeight="1" x14ac:dyDescent="0.15">
      <c r="A105" s="10" t="s">
        <v>21</v>
      </c>
      <c r="B105" s="496" t="s">
        <v>125</v>
      </c>
      <c r="C105" s="497"/>
      <c r="D105" s="497"/>
      <c r="E105" s="497"/>
      <c r="F105" s="53"/>
      <c r="G105" s="33">
        <f>ROUND(G104*$F$65,2)</f>
        <v>27.91</v>
      </c>
      <c r="H105" s="66"/>
      <c r="I105" s="64"/>
    </row>
    <row r="106" spans="1:9" s="18" customFormat="1" ht="18.75" customHeight="1" x14ac:dyDescent="0.15">
      <c r="A106" s="10" t="s">
        <v>23</v>
      </c>
      <c r="B106" s="264" t="s">
        <v>126</v>
      </c>
      <c r="C106" s="265"/>
      <c r="D106" s="265"/>
      <c r="E106" s="265"/>
      <c r="F106" s="53"/>
      <c r="G106" s="75" t="s">
        <v>0</v>
      </c>
      <c r="I106" s="115"/>
    </row>
    <row r="107" spans="1:9" s="18" customFormat="1" ht="18.75" customHeight="1" x14ac:dyDescent="0.15">
      <c r="A107" s="74" t="s">
        <v>127</v>
      </c>
      <c r="B107" s="267" t="s">
        <v>122</v>
      </c>
      <c r="C107" s="268"/>
      <c r="D107" s="268"/>
      <c r="E107" s="268"/>
      <c r="F107" s="53">
        <f>IF(F104&gt;0,40%,0)</f>
        <v>0.4</v>
      </c>
      <c r="G107" s="33">
        <f>ROUND(G$51*$F$64*$F107*F104,2)</f>
        <v>124.8</v>
      </c>
      <c r="I107" s="186"/>
    </row>
    <row r="108" spans="1:9" s="18" customFormat="1" ht="18.75" customHeight="1" x14ac:dyDescent="0.15">
      <c r="A108" s="74" t="s">
        <v>128</v>
      </c>
      <c r="B108" s="520" t="s">
        <v>124</v>
      </c>
      <c r="C108" s="521"/>
      <c r="D108" s="521"/>
      <c r="E108" s="521"/>
      <c r="F108" s="53">
        <f>IF(F104&gt;0,10%,0)</f>
        <v>0.1</v>
      </c>
      <c r="G108" s="33">
        <f>ROUND(G$51*$F$64*$F108*F104,2)</f>
        <v>31.2</v>
      </c>
      <c r="H108" s="66"/>
      <c r="I108" s="64"/>
    </row>
    <row r="109" spans="1:9" s="84" customFormat="1" ht="18" customHeight="1" x14ac:dyDescent="0.15">
      <c r="A109" s="179"/>
      <c r="B109" s="275" t="s">
        <v>101</v>
      </c>
      <c r="C109" s="275"/>
      <c r="D109" s="275"/>
      <c r="E109" s="275"/>
      <c r="F109" s="159"/>
      <c r="G109" s="160">
        <f>SUM(G99:G108)</f>
        <v>285.08999999999997</v>
      </c>
    </row>
    <row r="110" spans="1:9" s="84" customFormat="1" ht="32.25" customHeight="1" x14ac:dyDescent="0.15">
      <c r="A110" s="524" t="s">
        <v>187</v>
      </c>
      <c r="B110" s="525"/>
      <c r="C110" s="525"/>
      <c r="D110" s="525"/>
      <c r="E110" s="525"/>
      <c r="F110" s="525"/>
      <c r="G110" s="526"/>
    </row>
    <row r="111" spans="1:9" s="18" customFormat="1" ht="12.75" customHeight="1" x14ac:dyDescent="0.15">
      <c r="A111" s="25"/>
      <c r="B111" s="58"/>
      <c r="C111" s="26"/>
      <c r="D111" s="26"/>
      <c r="E111" s="26"/>
      <c r="F111" s="26"/>
      <c r="G111" s="27"/>
    </row>
    <row r="112" spans="1:9" s="89" customFormat="1" ht="18" customHeight="1" x14ac:dyDescent="0.2">
      <c r="A112" s="123" t="s">
        <v>129</v>
      </c>
      <c r="B112" s="86"/>
      <c r="C112" s="86"/>
      <c r="D112" s="124"/>
      <c r="E112" s="124"/>
      <c r="F112" s="124"/>
      <c r="G112" s="88"/>
    </row>
    <row r="113" spans="1:9" s="18" customFormat="1" ht="24" customHeight="1" x14ac:dyDescent="0.15">
      <c r="A113" s="28" t="s">
        <v>130</v>
      </c>
      <c r="B113" s="527" t="s">
        <v>131</v>
      </c>
      <c r="C113" s="528"/>
      <c r="D113" s="528"/>
      <c r="E113" s="528"/>
      <c r="F113" s="155" t="s">
        <v>132</v>
      </c>
      <c r="G113" s="121" t="s">
        <v>47</v>
      </c>
    </row>
    <row r="114" spans="1:9" s="18" customFormat="1" ht="22.5" customHeight="1" x14ac:dyDescent="0.15">
      <c r="A114" s="8" t="s">
        <v>13</v>
      </c>
      <c r="B114" s="511" t="s">
        <v>188</v>
      </c>
      <c r="C114" s="512"/>
      <c r="D114" s="512"/>
      <c r="E114" s="512"/>
      <c r="F114" s="154">
        <v>1</v>
      </c>
      <c r="G114" s="32">
        <f>ROUND(G$51/12,2)</f>
        <v>325</v>
      </c>
      <c r="H114" s="66"/>
      <c r="I114" s="64"/>
    </row>
    <row r="115" spans="1:9" s="18" customFormat="1" ht="22.5" customHeight="1" x14ac:dyDescent="0.15">
      <c r="A115" s="10" t="s">
        <v>15</v>
      </c>
      <c r="B115" s="494" t="str">
        <f>"Ausências legais (probabilidade de ocorrência = "&amp;(F115)&amp;" faltas/ano)"</f>
        <v>Ausências legais (probabilidade de ocorrência = 7 faltas/ano)</v>
      </c>
      <c r="C115" s="495"/>
      <c r="D115" s="495"/>
      <c r="E115" s="495"/>
      <c r="F115" s="80">
        <v>7</v>
      </c>
      <c r="G115" s="33">
        <f>ROUND(G$51/30*$F115/12,2)</f>
        <v>75.83</v>
      </c>
      <c r="H115" s="66"/>
      <c r="I115" s="64"/>
    </row>
    <row r="116" spans="1:9" s="18" customFormat="1" ht="22.5" customHeight="1" x14ac:dyDescent="0.15">
      <c r="A116" s="10" t="s">
        <v>17</v>
      </c>
      <c r="B116" s="496" t="str">
        <f>"Licença paternidade (probabilidade de ocorrência = "&amp;(F116*100)&amp;"%/ano)"</f>
        <v>Licença paternidade (probabilidade de ocorrência = 2%/ano)</v>
      </c>
      <c r="C116" s="497"/>
      <c r="D116" s="497"/>
      <c r="E116" s="497"/>
      <c r="F116" s="81">
        <v>0.02</v>
      </c>
      <c r="G116" s="33">
        <f>ROUND(G$51/30*5/12*F116,2)</f>
        <v>1.08</v>
      </c>
    </row>
    <row r="117" spans="1:9" s="18" customFormat="1" ht="22.5" customHeight="1" x14ac:dyDescent="0.15">
      <c r="A117" s="10" t="s">
        <v>19</v>
      </c>
      <c r="B117" s="494" t="str">
        <f>"Ausência por acidente de trabalho (probabilidade de ocorrência = "&amp;(F117)&amp;" Faltas/ano)"</f>
        <v>Ausência por acidente de trabalho (probabilidade de ocorrência = 5 Faltas/ano)</v>
      </c>
      <c r="C117" s="495"/>
      <c r="D117" s="495"/>
      <c r="E117" s="495"/>
      <c r="F117" s="80">
        <v>5</v>
      </c>
      <c r="G117" s="33">
        <f>ROUND(G$51/30*$F117/12,2)</f>
        <v>54.17</v>
      </c>
      <c r="H117" s="64"/>
    </row>
    <row r="118" spans="1:9" s="18" customFormat="1" ht="22.5" customHeight="1" x14ac:dyDescent="0.15">
      <c r="A118" s="10" t="s">
        <v>21</v>
      </c>
      <c r="B118" s="496" t="str">
        <f>"Licença maternidade (probabilidade de ocorrência = "&amp;(F118*100)&amp;"% ao ano)"</f>
        <v>Licença maternidade (probabilidade de ocorrência = 2% ao ano)</v>
      </c>
      <c r="C118" s="497"/>
      <c r="D118" s="497"/>
      <c r="E118" s="497"/>
      <c r="F118" s="81">
        <v>0.02</v>
      </c>
      <c r="G118" s="33">
        <f>ROUND((((G$51+(G$51/3))*0.3333)/12)*F118,2)</f>
        <v>2.89</v>
      </c>
    </row>
    <row r="119" spans="1:9" s="18" customFormat="1" ht="22.5" customHeight="1" x14ac:dyDescent="0.15">
      <c r="A119" s="10" t="s">
        <v>23</v>
      </c>
      <c r="B119" s="498" t="s">
        <v>51</v>
      </c>
      <c r="C119" s="499"/>
      <c r="D119" s="499"/>
      <c r="E119" s="499"/>
      <c r="F119" s="82" t="s">
        <v>0</v>
      </c>
      <c r="G119" s="33"/>
      <c r="H119" s="64"/>
    </row>
    <row r="120" spans="1:9" s="18" customFormat="1" ht="18" customHeight="1" x14ac:dyDescent="0.15">
      <c r="A120" s="179"/>
      <c r="B120" s="61" t="s">
        <v>189</v>
      </c>
      <c r="C120" s="275"/>
      <c r="D120" s="275"/>
      <c r="E120" s="275"/>
      <c r="F120" s="47"/>
      <c r="G120" s="14">
        <f>SUM(G114:G119)</f>
        <v>458.96999999999997</v>
      </c>
    </row>
    <row r="121" spans="1:9" s="18" customFormat="1" ht="21" customHeight="1" x14ac:dyDescent="0.15">
      <c r="A121" s="10" t="s">
        <v>25</v>
      </c>
      <c r="B121" s="500" t="s">
        <v>190</v>
      </c>
      <c r="C121" s="501"/>
      <c r="D121" s="501"/>
      <c r="E121" s="501"/>
      <c r="F121" s="502"/>
      <c r="G121" s="33">
        <f>ROUND(G120*$F$65,2)</f>
        <v>168.9</v>
      </c>
      <c r="H121" s="66"/>
      <c r="I121" s="64"/>
    </row>
    <row r="122" spans="1:9" s="18" customFormat="1" ht="18" customHeight="1" x14ac:dyDescent="0.15">
      <c r="A122" s="179"/>
      <c r="B122" s="275" t="s">
        <v>101</v>
      </c>
      <c r="C122" s="275"/>
      <c r="D122" s="275"/>
      <c r="E122" s="275"/>
      <c r="F122" s="47"/>
      <c r="G122" s="14">
        <f>SUM(G120:G121)</f>
        <v>627.87</v>
      </c>
    </row>
    <row r="123" spans="1:9" s="18" customFormat="1" ht="30" customHeight="1" x14ac:dyDescent="0.15">
      <c r="A123" s="503" t="s">
        <v>134</v>
      </c>
      <c r="B123" s="487"/>
      <c r="C123" s="487"/>
      <c r="D123" s="487"/>
      <c r="E123" s="487"/>
      <c r="F123" s="487"/>
      <c r="G123" s="504"/>
    </row>
    <row r="124" spans="1:9" s="18" customFormat="1" ht="33.75" customHeight="1" x14ac:dyDescent="0.15">
      <c r="A124" s="505" t="s">
        <v>135</v>
      </c>
      <c r="B124" s="506"/>
      <c r="C124" s="506"/>
      <c r="D124" s="506"/>
      <c r="E124" s="506"/>
      <c r="F124" s="506"/>
      <c r="G124" s="507"/>
    </row>
    <row r="125" spans="1:9" s="18" customFormat="1" ht="24" customHeight="1" x14ac:dyDescent="0.15">
      <c r="A125" s="29" t="s">
        <v>136</v>
      </c>
      <c r="B125" s="508" t="s">
        <v>137</v>
      </c>
      <c r="C125" s="509"/>
      <c r="D125" s="509"/>
      <c r="E125" s="509"/>
      <c r="F125" s="510"/>
      <c r="G125" s="121" t="s">
        <v>47</v>
      </c>
    </row>
    <row r="126" spans="1:9" s="18" customFormat="1" ht="22.5" customHeight="1" x14ac:dyDescent="0.15">
      <c r="A126" s="8" t="s">
        <v>13</v>
      </c>
      <c r="B126" s="511" t="s">
        <v>138</v>
      </c>
      <c r="C126" s="512"/>
      <c r="D126" s="512"/>
      <c r="E126" s="512"/>
      <c r="F126" s="156" t="s">
        <v>139</v>
      </c>
      <c r="G126" s="32">
        <f>IF(F126="Sim",ROUND(G$51/220*22*(F127*24),4),"")</f>
        <v>390</v>
      </c>
      <c r="H126" s="66"/>
      <c r="I126" s="64"/>
    </row>
    <row r="127" spans="1:9" s="18" customFormat="1" ht="22.5" customHeight="1" x14ac:dyDescent="0.15">
      <c r="A127" s="10" t="s">
        <v>140</v>
      </c>
      <c r="B127" s="498" t="s">
        <v>141</v>
      </c>
      <c r="C127" s="499"/>
      <c r="D127" s="499"/>
      <c r="E127" s="499"/>
      <c r="F127" s="157">
        <v>4.1666666666666664E-2</v>
      </c>
      <c r="G127" s="33"/>
      <c r="H127" s="64"/>
    </row>
    <row r="128" spans="1:9" s="18" customFormat="1" ht="18" customHeight="1" x14ac:dyDescent="0.15">
      <c r="A128" s="179"/>
      <c r="B128" s="61" t="s">
        <v>189</v>
      </c>
      <c r="C128" s="275"/>
      <c r="D128" s="275"/>
      <c r="E128" s="275"/>
      <c r="F128" s="47"/>
      <c r="G128" s="14">
        <f>SUM(G126:G127)</f>
        <v>390</v>
      </c>
    </row>
    <row r="129" spans="1:9" s="18" customFormat="1" ht="21" customHeight="1" x14ac:dyDescent="0.15">
      <c r="A129" s="10" t="s">
        <v>15</v>
      </c>
      <c r="B129" s="500" t="s">
        <v>190</v>
      </c>
      <c r="C129" s="501"/>
      <c r="D129" s="501"/>
      <c r="E129" s="501"/>
      <c r="F129" s="502"/>
      <c r="G129" s="33">
        <f>ROUND(G128*$F$65,2)</f>
        <v>143.52000000000001</v>
      </c>
      <c r="H129" s="66"/>
      <c r="I129" s="64"/>
    </row>
    <row r="130" spans="1:9" s="18" customFormat="1" ht="18" customHeight="1" x14ac:dyDescent="0.15">
      <c r="A130" s="179"/>
      <c r="B130" s="275" t="s">
        <v>101</v>
      </c>
      <c r="C130" s="275"/>
      <c r="D130" s="275"/>
      <c r="E130" s="275"/>
      <c r="F130" s="47"/>
      <c r="G130" s="14">
        <f>SUM(G128:G129)</f>
        <v>533.52</v>
      </c>
    </row>
    <row r="131" spans="1:9" s="18" customFormat="1" ht="15.75" customHeight="1" x14ac:dyDescent="0.15">
      <c r="A131" s="513" t="s">
        <v>142</v>
      </c>
      <c r="B131" s="513"/>
      <c r="C131" s="513"/>
      <c r="D131" s="513"/>
      <c r="E131" s="513"/>
      <c r="F131" s="513"/>
      <c r="G131" s="513"/>
    </row>
    <row r="132" spans="1:9" s="18" customFormat="1" ht="10.5" x14ac:dyDescent="0.15">
      <c r="A132" s="493" t="s">
        <v>143</v>
      </c>
      <c r="B132" s="493"/>
      <c r="C132" s="493"/>
      <c r="D132" s="493"/>
      <c r="E132" s="493"/>
      <c r="F132" s="493"/>
      <c r="G132" s="493"/>
    </row>
    <row r="133" spans="1:9" s="18" customFormat="1" ht="24" customHeight="1" x14ac:dyDescent="0.15">
      <c r="A133" s="70"/>
      <c r="B133" s="70"/>
      <c r="C133" s="70"/>
      <c r="D133" s="70"/>
      <c r="E133" s="70"/>
      <c r="F133" s="70"/>
      <c r="G133" s="70"/>
    </row>
    <row r="134" spans="1:9" s="133" customFormat="1" ht="24" customHeight="1" x14ac:dyDescent="0.15">
      <c r="A134" s="135" t="s">
        <v>144</v>
      </c>
      <c r="B134" s="141"/>
      <c r="C134" s="142"/>
      <c r="D134" s="142"/>
      <c r="E134" s="142"/>
      <c r="F134" s="142"/>
      <c r="G134" s="143"/>
    </row>
    <row r="135" spans="1:9" s="134" customFormat="1" ht="24" customHeight="1" x14ac:dyDescent="0.15">
      <c r="A135" s="136">
        <v>4</v>
      </c>
      <c r="B135" s="137" t="s">
        <v>110</v>
      </c>
      <c r="C135" s="138"/>
      <c r="D135" s="138"/>
      <c r="E135" s="138"/>
      <c r="F135" s="138"/>
      <c r="G135" s="139"/>
    </row>
    <row r="136" spans="1:9" s="133" customFormat="1" ht="24" customHeight="1" x14ac:dyDescent="0.15">
      <c r="A136" s="140" t="s">
        <v>130</v>
      </c>
      <c r="B136" s="141" t="s">
        <v>145</v>
      </c>
      <c r="C136" s="142"/>
      <c r="D136" s="142"/>
      <c r="E136" s="142"/>
      <c r="F136" s="143"/>
      <c r="G136" s="149">
        <f>G122</f>
        <v>627.87</v>
      </c>
    </row>
    <row r="137" spans="1:9" s="133" customFormat="1" ht="24" customHeight="1" x14ac:dyDescent="0.15">
      <c r="A137" s="140" t="s">
        <v>136</v>
      </c>
      <c r="B137" s="141" t="s">
        <v>146</v>
      </c>
      <c r="C137" s="142"/>
      <c r="D137" s="142"/>
      <c r="E137" s="142"/>
      <c r="F137" s="143"/>
      <c r="G137" s="149">
        <f>G130</f>
        <v>533.52</v>
      </c>
    </row>
    <row r="138" spans="1:9" s="133" customFormat="1" ht="24" customHeight="1" x14ac:dyDescent="0.15">
      <c r="A138" s="140"/>
      <c r="B138" s="141"/>
      <c r="C138" s="142"/>
      <c r="D138" s="142"/>
      <c r="E138" s="142"/>
      <c r="F138" s="143"/>
      <c r="G138" s="149"/>
    </row>
    <row r="139" spans="1:9" s="133" customFormat="1" ht="18" customHeight="1" x14ac:dyDescent="0.15">
      <c r="A139" s="147"/>
      <c r="B139" s="144" t="s">
        <v>114</v>
      </c>
      <c r="C139" s="144"/>
      <c r="D139" s="148" t="s">
        <v>101</v>
      </c>
      <c r="E139" s="144"/>
      <c r="F139" s="145"/>
      <c r="G139" s="146">
        <f>SUM(G136:G138)</f>
        <v>1161.3899999999999</v>
      </c>
    </row>
    <row r="140" spans="1:9" s="18" customFormat="1" ht="18" customHeight="1" x14ac:dyDescent="0.15">
      <c r="A140" s="25"/>
      <c r="B140" s="58"/>
      <c r="C140" s="26"/>
      <c r="D140" s="26"/>
      <c r="E140" s="26"/>
      <c r="F140" s="26"/>
      <c r="G140" s="27"/>
    </row>
    <row r="141" spans="1:9" s="129" customFormat="1" ht="18" customHeight="1" x14ac:dyDescent="0.2">
      <c r="A141" s="123" t="s">
        <v>45</v>
      </c>
      <c r="B141" s="126"/>
      <c r="C141" s="126"/>
      <c r="D141" s="127"/>
      <c r="E141" s="127"/>
      <c r="F141" s="127"/>
      <c r="G141" s="128"/>
    </row>
    <row r="142" spans="1:9" s="130" customFormat="1" ht="18" customHeight="1" x14ac:dyDescent="0.2">
      <c r="A142" s="6">
        <v>5</v>
      </c>
      <c r="B142" s="62" t="s">
        <v>46</v>
      </c>
      <c r="C142" s="275"/>
      <c r="D142" s="275"/>
      <c r="E142" s="275"/>
      <c r="F142" s="19"/>
      <c r="G142" s="60" t="s">
        <v>47</v>
      </c>
    </row>
    <row r="143" spans="1:9" s="130" customFormat="1" ht="18" customHeight="1" x14ac:dyDescent="0.2">
      <c r="A143" s="8" t="s">
        <v>13</v>
      </c>
      <c r="B143" s="262" t="s">
        <v>48</v>
      </c>
      <c r="C143" s="263"/>
      <c r="D143" s="263"/>
      <c r="E143" s="263"/>
      <c r="F143" s="20"/>
      <c r="G143" s="161">
        <f>PARAMETROS!C59</f>
        <v>0</v>
      </c>
      <c r="I143" s="131"/>
    </row>
    <row r="144" spans="1:9" s="130" customFormat="1" ht="18" customHeight="1" x14ac:dyDescent="0.2">
      <c r="A144" s="10" t="s">
        <v>15</v>
      </c>
      <c r="B144" s="264" t="s">
        <v>49</v>
      </c>
      <c r="C144" s="265"/>
      <c r="D144" s="265"/>
      <c r="E144" s="265"/>
      <c r="F144" s="21"/>
      <c r="G144" s="161">
        <f>PARAMETROS!C60</f>
        <v>0</v>
      </c>
    </row>
    <row r="145" spans="1:11" s="130" customFormat="1" ht="18" customHeight="1" x14ac:dyDescent="0.2">
      <c r="A145" s="10" t="s">
        <v>17</v>
      </c>
      <c r="B145" s="264" t="s">
        <v>50</v>
      </c>
      <c r="C145" s="265"/>
      <c r="D145" s="265"/>
      <c r="E145" s="265"/>
      <c r="F145" s="21"/>
      <c r="G145" s="161">
        <f>PARAMETROS!C61</f>
        <v>0</v>
      </c>
    </row>
    <row r="146" spans="1:11" s="130" customFormat="1" ht="18" customHeight="1" x14ac:dyDescent="0.2">
      <c r="A146" s="177" t="s">
        <v>25</v>
      </c>
      <c r="B146" s="273" t="s">
        <v>51</v>
      </c>
      <c r="C146" s="274"/>
      <c r="D146" s="274"/>
      <c r="E146" s="274"/>
      <c r="F146" s="22"/>
      <c r="G146" s="161">
        <f>PARAMETROS!C62</f>
        <v>0</v>
      </c>
    </row>
    <row r="147" spans="1:11" s="130" customFormat="1" ht="18" customHeight="1" x14ac:dyDescent="0.2">
      <c r="A147" s="13"/>
      <c r="B147" s="23" t="s">
        <v>29</v>
      </c>
      <c r="C147" s="52"/>
      <c r="D147" s="52"/>
      <c r="E147" s="52"/>
      <c r="F147" s="24"/>
      <c r="G147" s="14">
        <f>SUM(G143:G146)</f>
        <v>0</v>
      </c>
    </row>
    <row r="148" spans="1:11" s="132" customFormat="1" ht="13.5" customHeight="1" x14ac:dyDescent="0.15">
      <c r="A148" s="487" t="s">
        <v>147</v>
      </c>
      <c r="B148" s="487"/>
      <c r="C148" s="487"/>
      <c r="D148" s="487"/>
      <c r="E148" s="487"/>
      <c r="F148" s="487"/>
      <c r="G148" s="487"/>
    </row>
    <row r="149" spans="1:11" s="18" customFormat="1" ht="18" customHeight="1" x14ac:dyDescent="0.15">
      <c r="A149" s="488" t="s">
        <v>148</v>
      </c>
      <c r="B149" s="488"/>
      <c r="C149" s="488"/>
      <c r="D149" s="488"/>
      <c r="E149" s="488"/>
      <c r="F149" s="488"/>
      <c r="G149" s="488"/>
    </row>
    <row r="150" spans="1:11" s="76" customFormat="1" ht="15.75" customHeight="1" x14ac:dyDescent="0.15">
      <c r="A150" s="77"/>
      <c r="B150" s="78"/>
      <c r="C150" s="77"/>
      <c r="D150" s="77"/>
      <c r="E150" s="77"/>
      <c r="F150" s="77"/>
      <c r="G150" s="77"/>
    </row>
    <row r="151" spans="1:11" s="89" customFormat="1" ht="18" customHeight="1" x14ac:dyDescent="0.2">
      <c r="A151" s="85" t="s">
        <v>149</v>
      </c>
      <c r="B151" s="86"/>
      <c r="C151" s="86"/>
      <c r="D151" s="87"/>
      <c r="E151" s="87"/>
      <c r="F151" s="87"/>
      <c r="G151" s="88"/>
    </row>
    <row r="152" spans="1:11" s="18" customFormat="1" ht="18" customHeight="1" x14ac:dyDescent="0.15">
      <c r="A152" s="28">
        <v>6</v>
      </c>
      <c r="B152" s="61" t="s">
        <v>150</v>
      </c>
      <c r="C152" s="261"/>
      <c r="D152" s="261"/>
      <c r="E152" s="261"/>
      <c r="F152" s="54" t="s">
        <v>12</v>
      </c>
      <c r="G152" s="60" t="s">
        <v>47</v>
      </c>
    </row>
    <row r="153" spans="1:11" s="18" customFormat="1" ht="19.5" customHeight="1" x14ac:dyDescent="0.15">
      <c r="A153" s="8" t="s">
        <v>13</v>
      </c>
      <c r="B153" s="489" t="s">
        <v>151</v>
      </c>
      <c r="C153" s="490"/>
      <c r="D153" s="490"/>
      <c r="E153" s="490"/>
      <c r="F153" s="72">
        <v>0.15</v>
      </c>
      <c r="G153" s="91">
        <f>ROUND(($G$51+$G$95+$G$109+$G$139+$G$147)*F153,2)</f>
        <v>1145.17</v>
      </c>
      <c r="H153" s="64"/>
    </row>
    <row r="154" spans="1:11" s="18" customFormat="1" ht="15.75" customHeight="1" x14ac:dyDescent="0.15">
      <c r="A154" s="179" t="s">
        <v>15</v>
      </c>
      <c r="B154" s="489" t="s">
        <v>152</v>
      </c>
      <c r="C154" s="490"/>
      <c r="D154" s="490"/>
      <c r="E154" s="490"/>
      <c r="F154" s="92">
        <v>0.1</v>
      </c>
      <c r="G154" s="91">
        <f>ROUND(($G$51+$G$95+$G$109+$G$139+$G$147+$G$153)*F154,2)</f>
        <v>877.97</v>
      </c>
      <c r="K154" s="66"/>
    </row>
    <row r="155" spans="1:11" s="18" customFormat="1" ht="18" customHeight="1" x14ac:dyDescent="0.15">
      <c r="A155" s="179" t="s">
        <v>17</v>
      </c>
      <c r="B155" s="63" t="s">
        <v>153</v>
      </c>
      <c r="C155" s="93"/>
      <c r="D155" s="93"/>
      <c r="E155" s="93"/>
      <c r="F155" s="35">
        <f>SUM(F157:F162)</f>
        <v>8.6499999999999994E-2</v>
      </c>
      <c r="G155" s="36"/>
      <c r="K155" s="64"/>
    </row>
    <row r="156" spans="1:11" s="18" customFormat="1" ht="18" customHeight="1" x14ac:dyDescent="0.15">
      <c r="A156" s="179"/>
      <c r="B156" s="63" t="s">
        <v>154</v>
      </c>
      <c r="C156" s="93"/>
      <c r="D156" s="93"/>
      <c r="E156" s="93"/>
      <c r="F156" s="35"/>
      <c r="G156" s="31"/>
      <c r="K156" s="64"/>
    </row>
    <row r="157" spans="1:11" s="18" customFormat="1" ht="18" customHeight="1" x14ac:dyDescent="0.15">
      <c r="A157" s="10"/>
      <c r="B157" s="162" t="s">
        <v>155</v>
      </c>
      <c r="C157" s="163"/>
      <c r="D157" s="163"/>
      <c r="E157" s="163"/>
      <c r="F157" s="164">
        <v>6.4999999999999997E-3</v>
      </c>
      <c r="G157" s="165">
        <f>ROUND($G$166*F157,2)</f>
        <v>68.72</v>
      </c>
    </row>
    <row r="158" spans="1:11" s="18" customFormat="1" ht="18" customHeight="1" x14ac:dyDescent="0.15">
      <c r="A158" s="10"/>
      <c r="B158" s="162" t="s">
        <v>156</v>
      </c>
      <c r="C158" s="163"/>
      <c r="D158" s="163"/>
      <c r="E158" s="163"/>
      <c r="F158" s="164">
        <v>0.03</v>
      </c>
      <c r="G158" s="165">
        <f>ROUND($G$166*F158,2)</f>
        <v>317.16000000000003</v>
      </c>
    </row>
    <row r="159" spans="1:11" s="18" customFormat="1" ht="18" customHeight="1" x14ac:dyDescent="0.15">
      <c r="A159" s="179"/>
      <c r="B159" s="63" t="s">
        <v>157</v>
      </c>
      <c r="C159" s="93"/>
      <c r="D159" s="93"/>
      <c r="E159" s="93"/>
      <c r="F159" s="92"/>
      <c r="G159" s="160"/>
    </row>
    <row r="160" spans="1:11" s="18" customFormat="1" ht="18" customHeight="1" x14ac:dyDescent="0.15">
      <c r="A160" s="179"/>
      <c r="B160" s="63" t="s">
        <v>158</v>
      </c>
      <c r="C160" s="93"/>
      <c r="D160" s="93"/>
      <c r="E160" s="93"/>
      <c r="F160" s="35"/>
      <c r="G160" s="160"/>
    </row>
    <row r="161" spans="1:9" s="18" customFormat="1" ht="18" customHeight="1" x14ac:dyDescent="0.15">
      <c r="A161" s="8"/>
      <c r="B161" s="166" t="s">
        <v>159</v>
      </c>
      <c r="C161" s="168"/>
      <c r="D161" s="168"/>
      <c r="E161" s="168"/>
      <c r="F161" s="167">
        <v>0.05</v>
      </c>
      <c r="G161" s="165">
        <f>ROUND($G$166*F161,2)</f>
        <v>528.61</v>
      </c>
    </row>
    <row r="162" spans="1:9" s="18" customFormat="1" ht="18" customHeight="1" x14ac:dyDescent="0.15">
      <c r="A162" s="179"/>
      <c r="B162" s="63" t="s">
        <v>160</v>
      </c>
      <c r="C162" s="93"/>
      <c r="D162" s="93"/>
      <c r="E162" s="93"/>
      <c r="F162" s="35"/>
      <c r="G162" s="14"/>
    </row>
    <row r="163" spans="1:9" s="18" customFormat="1" ht="18" customHeight="1" x14ac:dyDescent="0.15">
      <c r="A163" s="179"/>
      <c r="B163" s="275" t="s">
        <v>101</v>
      </c>
      <c r="C163" s="275"/>
      <c r="D163" s="275"/>
      <c r="E163" s="275"/>
      <c r="F163" s="35"/>
      <c r="G163" s="31">
        <f>SUM(G153:G162)</f>
        <v>2937.63</v>
      </c>
    </row>
    <row r="164" spans="1:9" s="7" customFormat="1" ht="18" customHeight="1" x14ac:dyDescent="0.2">
      <c r="A164" s="38" t="str">
        <f>"a) F = Tributos (%) /100"&amp;" = "&amp;(F155*100)&amp;"% / 100 = "&amp;ROUND((F155*100)/100,4)</f>
        <v>a) F = Tributos (%) /100 = 8,65% / 100 = 0,0865</v>
      </c>
      <c r="B164" s="39"/>
      <c r="C164" s="39"/>
      <c r="D164" s="39"/>
      <c r="E164" s="39"/>
      <c r="F164" s="39"/>
      <c r="G164" s="40"/>
      <c r="H164" s="49"/>
      <c r="I164" s="50"/>
    </row>
    <row r="165" spans="1:9" s="7" customFormat="1" ht="18" customHeight="1" x14ac:dyDescent="0.2">
      <c r="A165" s="42" t="s">
        <v>161</v>
      </c>
      <c r="B165" s="41"/>
      <c r="C165" s="41"/>
      <c r="D165" s="41"/>
      <c r="E165" s="41"/>
      <c r="F165" s="41"/>
      <c r="G165" s="37">
        <f>ROUND(($G$51+$G$95+$G$109+$G$139+$G$147+$G$153+$G$154),2)</f>
        <v>9657.6200000000008</v>
      </c>
      <c r="H165" s="46"/>
      <c r="I165" s="50"/>
    </row>
    <row r="166" spans="1:9" s="7" customFormat="1" ht="18" customHeight="1" x14ac:dyDescent="0.2">
      <c r="A166" s="42" t="str">
        <f>"c) PF= P / (1 - F) = P  / (1 - "&amp;F155&amp;") =  P / "&amp;(1-F155)&amp;" = "</f>
        <v xml:space="preserve">c) PF= P / (1 - F) = P  / (1 - 0,0865) =  P / 0,9135 = </v>
      </c>
      <c r="B166" s="41"/>
      <c r="C166" s="41"/>
      <c r="D166" s="41"/>
      <c r="E166" s="41"/>
      <c r="F166" s="41"/>
      <c r="G166" s="37">
        <f>ROUND(G165/ (1-$F155),2)</f>
        <v>10572.11</v>
      </c>
      <c r="H166" s="46"/>
      <c r="I166" s="50"/>
    </row>
    <row r="167" spans="1:9" s="7" customFormat="1" ht="18" customHeight="1" x14ac:dyDescent="0.2">
      <c r="A167" s="43" t="str">
        <f>"VALOR DOS TRIBUTOS = PF - P =  "</f>
        <v xml:space="preserve">VALOR DOS TRIBUTOS = PF - P =  </v>
      </c>
      <c r="B167" s="44"/>
      <c r="C167" s="44"/>
      <c r="D167" s="44"/>
      <c r="E167" s="44"/>
      <c r="F167" s="45"/>
      <c r="G167" s="48">
        <f>G166-G165</f>
        <v>914.48999999999978</v>
      </c>
      <c r="H167" s="46"/>
      <c r="I167" s="50"/>
    </row>
    <row r="168" spans="1:9" s="7" customFormat="1" ht="10.5" x14ac:dyDescent="0.2">
      <c r="A168" s="94" t="s">
        <v>162</v>
      </c>
      <c r="B168" s="79" t="s">
        <v>163</v>
      </c>
      <c r="C168" s="95"/>
      <c r="D168" s="95"/>
      <c r="E168" s="95"/>
      <c r="F168" s="41"/>
      <c r="G168" s="96"/>
      <c r="H168" s="46"/>
      <c r="I168" s="50"/>
    </row>
    <row r="169" spans="1:9" s="7" customFormat="1" ht="10.5" x14ac:dyDescent="0.2">
      <c r="A169" s="95"/>
      <c r="B169" s="79" t="s">
        <v>164</v>
      </c>
      <c r="C169" s="95"/>
      <c r="D169" s="95"/>
      <c r="E169" s="95"/>
      <c r="F169" s="41"/>
      <c r="G169" s="96"/>
      <c r="H169" s="46"/>
      <c r="I169" s="50"/>
    </row>
    <row r="170" spans="1:9" s="7" customFormat="1" ht="10.5" x14ac:dyDescent="0.2">
      <c r="A170" s="95"/>
      <c r="B170" s="79" t="s">
        <v>165</v>
      </c>
      <c r="C170" s="95"/>
      <c r="D170" s="95"/>
      <c r="E170" s="95"/>
      <c r="F170" s="41"/>
      <c r="G170" s="96"/>
      <c r="H170" s="46"/>
      <c r="I170" s="50"/>
    </row>
    <row r="171" spans="1:9" ht="18" customHeight="1" x14ac:dyDescent="0.15">
      <c r="H171" s="51"/>
      <c r="I171" s="51"/>
    </row>
    <row r="172" spans="1:9" s="89" customFormat="1" ht="18" customHeight="1" x14ac:dyDescent="0.2">
      <c r="A172" s="90" t="s">
        <v>166</v>
      </c>
      <c r="B172" s="86"/>
      <c r="C172" s="86"/>
      <c r="D172" s="87"/>
      <c r="E172" s="87"/>
      <c r="F172" s="87"/>
      <c r="G172" s="88"/>
    </row>
    <row r="173" spans="1:9" s="18" customFormat="1" ht="21.75" customHeight="1" x14ac:dyDescent="0.15">
      <c r="A173" s="97"/>
      <c r="B173" s="491" t="s">
        <v>167</v>
      </c>
      <c r="C173" s="491"/>
      <c r="D173" s="491"/>
      <c r="E173" s="491"/>
      <c r="F173" s="492"/>
      <c r="G173" s="98" t="s">
        <v>47</v>
      </c>
      <c r="H173" s="25"/>
      <c r="I173" s="25"/>
    </row>
    <row r="174" spans="1:9" s="18" customFormat="1" ht="21.75" customHeight="1" x14ac:dyDescent="0.15">
      <c r="A174" s="100" t="s">
        <v>13</v>
      </c>
      <c r="B174" s="101" t="s">
        <v>168</v>
      </c>
      <c r="C174" s="102"/>
      <c r="D174" s="102"/>
      <c r="E174" s="102"/>
      <c r="F174" s="103"/>
      <c r="G174" s="169">
        <f>$G$51</f>
        <v>3900</v>
      </c>
    </row>
    <row r="175" spans="1:9" s="18" customFormat="1" ht="21.75" customHeight="1" x14ac:dyDescent="0.15">
      <c r="A175" s="104" t="s">
        <v>15</v>
      </c>
      <c r="B175" s="105" t="s">
        <v>169</v>
      </c>
      <c r="C175" s="106"/>
      <c r="D175" s="106"/>
      <c r="E175" s="106"/>
      <c r="F175" s="69"/>
      <c r="G175" s="170">
        <f>$G$95</f>
        <v>2288</v>
      </c>
    </row>
    <row r="176" spans="1:9" s="18" customFormat="1" ht="21.75" customHeight="1" x14ac:dyDescent="0.15">
      <c r="A176" s="104" t="s">
        <v>17</v>
      </c>
      <c r="B176" s="105" t="s">
        <v>170</v>
      </c>
      <c r="C176" s="106"/>
      <c r="D176" s="106"/>
      <c r="E176" s="106"/>
      <c r="F176" s="69"/>
      <c r="G176" s="170">
        <f>$G$109</f>
        <v>285.08999999999997</v>
      </c>
    </row>
    <row r="177" spans="1:9" s="18" customFormat="1" ht="21.75" customHeight="1" x14ac:dyDescent="0.15">
      <c r="A177" s="104" t="s">
        <v>19</v>
      </c>
      <c r="B177" s="105" t="s">
        <v>171</v>
      </c>
      <c r="C177" s="106"/>
      <c r="D177" s="106"/>
      <c r="E177" s="106"/>
      <c r="F177" s="69"/>
      <c r="G177" s="170">
        <f>$G$139</f>
        <v>1161.3899999999999</v>
      </c>
    </row>
    <row r="178" spans="1:9" s="18" customFormat="1" ht="21.75" customHeight="1" x14ac:dyDescent="0.15">
      <c r="A178" s="104" t="s">
        <v>21</v>
      </c>
      <c r="B178" s="105" t="s">
        <v>172</v>
      </c>
      <c r="C178" s="106"/>
      <c r="D178" s="106"/>
      <c r="E178" s="106"/>
      <c r="F178" s="69"/>
      <c r="G178" s="170">
        <f>$G$147</f>
        <v>0</v>
      </c>
    </row>
    <row r="179" spans="1:9" s="18" customFormat="1" ht="21.75" customHeight="1" x14ac:dyDescent="0.15">
      <c r="A179" s="104"/>
      <c r="B179" s="107" t="s">
        <v>173</v>
      </c>
      <c r="C179" s="106"/>
      <c r="D179" s="106"/>
      <c r="E179" s="106"/>
      <c r="F179" s="69"/>
      <c r="G179" s="171">
        <f>SUM(G174:G178)</f>
        <v>7634.48</v>
      </c>
    </row>
    <row r="180" spans="1:9" s="18" customFormat="1" ht="21.75" customHeight="1" x14ac:dyDescent="0.15">
      <c r="A180" s="109" t="s">
        <v>23</v>
      </c>
      <c r="B180" s="110" t="s">
        <v>174</v>
      </c>
      <c r="C180" s="111"/>
      <c r="D180" s="111"/>
      <c r="E180" s="111"/>
      <c r="F180" s="112"/>
      <c r="G180" s="172">
        <f>$G$163</f>
        <v>2937.63</v>
      </c>
    </row>
    <row r="181" spans="1:9" s="18" customFormat="1" ht="21.75" customHeight="1" x14ac:dyDescent="0.15">
      <c r="A181" s="113"/>
      <c r="B181" s="99" t="s">
        <v>175</v>
      </c>
      <c r="C181" s="99"/>
      <c r="D181" s="99"/>
      <c r="E181" s="99"/>
      <c r="F181" s="114"/>
      <c r="G181" s="173">
        <f>SUM(G179:G180)</f>
        <v>10572.11</v>
      </c>
      <c r="H181" s="64"/>
      <c r="I181" s="64"/>
    </row>
  </sheetData>
  <mergeCells count="85">
    <mergeCell ref="B18:E18"/>
    <mergeCell ref="A2:G2"/>
    <mergeCell ref="A3:G3"/>
    <mergeCell ref="A5:G5"/>
    <mergeCell ref="A6:G6"/>
    <mergeCell ref="A10:B10"/>
    <mergeCell ref="C10:D10"/>
    <mergeCell ref="A11:B11"/>
    <mergeCell ref="C11:D11"/>
    <mergeCell ref="B15:E15"/>
    <mergeCell ref="B16:E16"/>
    <mergeCell ref="B17:E17"/>
    <mergeCell ref="A21:B21"/>
    <mergeCell ref="C21:D21"/>
    <mergeCell ref="E21:F21"/>
    <mergeCell ref="A22:B22"/>
    <mergeCell ref="C22:D22"/>
    <mergeCell ref="E22:F22"/>
    <mergeCell ref="B31:F31"/>
    <mergeCell ref="A23:B23"/>
    <mergeCell ref="C23:D23"/>
    <mergeCell ref="E23:F23"/>
    <mergeCell ref="A24:B24"/>
    <mergeCell ref="C24:D24"/>
    <mergeCell ref="E24:F24"/>
    <mergeCell ref="A25:G25"/>
    <mergeCell ref="A26:G26"/>
    <mergeCell ref="A28:F28"/>
    <mergeCell ref="B29:F29"/>
    <mergeCell ref="B30:F30"/>
    <mergeCell ref="B47:D47"/>
    <mergeCell ref="B32:F32"/>
    <mergeCell ref="B33:F33"/>
    <mergeCell ref="B34:F34"/>
    <mergeCell ref="A35:A36"/>
    <mergeCell ref="B35:C35"/>
    <mergeCell ref="D35:E35"/>
    <mergeCell ref="B36:C36"/>
    <mergeCell ref="D36:E36"/>
    <mergeCell ref="B37:C37"/>
    <mergeCell ref="E37:F37"/>
    <mergeCell ref="B44:E44"/>
    <mergeCell ref="B45:E45"/>
    <mergeCell ref="B46:E46"/>
    <mergeCell ref="A87:G87"/>
    <mergeCell ref="B48:E48"/>
    <mergeCell ref="B49:E49"/>
    <mergeCell ref="B50:E50"/>
    <mergeCell ref="A52:G52"/>
    <mergeCell ref="A53:G53"/>
    <mergeCell ref="B56:E56"/>
    <mergeCell ref="A66:G66"/>
    <mergeCell ref="B72:F72"/>
    <mergeCell ref="A74:G74"/>
    <mergeCell ref="B76:F76"/>
    <mergeCell ref="B77:F77"/>
    <mergeCell ref="B116:E116"/>
    <mergeCell ref="A88:G88"/>
    <mergeCell ref="B98:E98"/>
    <mergeCell ref="B99:E99"/>
    <mergeCell ref="B103:E103"/>
    <mergeCell ref="B104:E104"/>
    <mergeCell ref="B105:E105"/>
    <mergeCell ref="B108:E108"/>
    <mergeCell ref="A110:G110"/>
    <mergeCell ref="B113:E113"/>
    <mergeCell ref="B114:E114"/>
    <mergeCell ref="B115:E115"/>
    <mergeCell ref="A132:G132"/>
    <mergeCell ref="B117:E117"/>
    <mergeCell ref="B118:E118"/>
    <mergeCell ref="B119:E119"/>
    <mergeCell ref="B121:F121"/>
    <mergeCell ref="A123:G123"/>
    <mergeCell ref="A124:G124"/>
    <mergeCell ref="B125:F125"/>
    <mergeCell ref="B126:E126"/>
    <mergeCell ref="B127:E127"/>
    <mergeCell ref="B129:F129"/>
    <mergeCell ref="A131:G131"/>
    <mergeCell ref="A148:G148"/>
    <mergeCell ref="A149:G149"/>
    <mergeCell ref="B153:E153"/>
    <mergeCell ref="B154:E154"/>
    <mergeCell ref="B173:F173"/>
  </mergeCells>
  <dataValidations count="1">
    <dataValidation type="list" allowBlank="1" showInputMessage="1" showErrorMessage="1" sqref="F126">
      <formula1>"Sim,Não"</formula1>
    </dataValidation>
  </dataValidations>
  <printOptions horizontalCentered="1"/>
  <pageMargins left="1.1811023622047245" right="0.39370078740157483" top="0.39370078740157483" bottom="0.39370078740157483" header="0.11811023622047245" footer="0.11811023622047245"/>
  <pageSetup paperSize="9" scale="82" fitToHeight="4" orientation="portrait" r:id="rId1"/>
  <headerFooter alignWithMargins="0">
    <oddFooter>&amp;LPág. &amp;P</oddFooter>
  </headerFooter>
  <rowBreaks count="3" manualBreakCount="3">
    <brk id="67" max="6" man="1"/>
    <brk id="110" max="6" man="1"/>
    <brk id="150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showGridLines="0" workbookViewId="0">
      <selection activeCell="T8" sqref="T8"/>
    </sheetView>
  </sheetViews>
  <sheetFormatPr defaultRowHeight="12.75" x14ac:dyDescent="0.2"/>
  <cols>
    <col min="1" max="18" width="3.28515625" customWidth="1"/>
  </cols>
  <sheetData>
    <row r="1" spans="1:19" x14ac:dyDescent="0.2">
      <c r="A1" s="635" t="s">
        <v>240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</row>
    <row r="2" spans="1:19" x14ac:dyDescent="0.2">
      <c r="A2" s="639" t="s">
        <v>244</v>
      </c>
      <c r="B2" s="640"/>
      <c r="C2" s="640"/>
      <c r="D2" s="640"/>
      <c r="E2" s="640"/>
      <c r="F2" s="640"/>
      <c r="G2" s="640"/>
      <c r="H2" s="641" t="s">
        <v>245</v>
      </c>
      <c r="I2" s="642"/>
      <c r="J2" s="642"/>
      <c r="K2" s="642"/>
      <c r="L2" s="642"/>
      <c r="M2" s="642"/>
      <c r="N2" s="642"/>
      <c r="O2" s="642"/>
      <c r="P2" s="642"/>
      <c r="Q2" s="642"/>
      <c r="R2" s="642"/>
    </row>
    <row r="3" spans="1:19" x14ac:dyDescent="0.2">
      <c r="A3" s="633" t="s">
        <v>239</v>
      </c>
      <c r="B3" s="634"/>
      <c r="C3" s="633" t="s">
        <v>246</v>
      </c>
      <c r="D3" s="634"/>
      <c r="E3" s="633" t="s">
        <v>247</v>
      </c>
      <c r="F3" s="634"/>
      <c r="G3" s="633" t="s">
        <v>248</v>
      </c>
      <c r="H3" s="634"/>
      <c r="I3" s="633" t="s">
        <v>249</v>
      </c>
      <c r="J3" s="634"/>
      <c r="K3" s="633" t="s">
        <v>250</v>
      </c>
      <c r="L3" s="634"/>
      <c r="M3" s="633" t="s">
        <v>251</v>
      </c>
      <c r="N3" s="634"/>
      <c r="O3" s="633" t="s">
        <v>252</v>
      </c>
      <c r="P3" s="634"/>
      <c r="Q3" s="633" t="s">
        <v>253</v>
      </c>
      <c r="R3" s="634"/>
      <c r="S3" s="400"/>
    </row>
    <row r="4" spans="1:19" x14ac:dyDescent="0.2">
      <c r="A4" s="395"/>
      <c r="B4" s="396"/>
      <c r="C4" s="395"/>
      <c r="D4" s="396"/>
      <c r="E4" s="395"/>
      <c r="F4" s="396"/>
      <c r="G4" s="395"/>
      <c r="H4" s="396"/>
      <c r="I4" s="395"/>
      <c r="J4" s="396"/>
      <c r="K4" s="395"/>
      <c r="L4" s="396"/>
      <c r="M4" s="395"/>
      <c r="N4" s="396"/>
      <c r="O4" s="395"/>
      <c r="P4" s="396"/>
      <c r="Q4" s="395"/>
      <c r="R4" s="396"/>
    </row>
    <row r="5" spans="1:19" x14ac:dyDescent="0.2">
      <c r="B5" s="397"/>
      <c r="D5" s="397"/>
      <c r="F5" s="397"/>
      <c r="H5" s="397"/>
      <c r="J5" s="397"/>
      <c r="L5" s="397"/>
      <c r="N5" s="397"/>
      <c r="P5" s="397"/>
      <c r="R5" s="397"/>
    </row>
    <row r="7" spans="1:19" ht="7.15" customHeight="1" x14ac:dyDescent="0.2"/>
    <row r="8" spans="1:19" s="398" customFormat="1" ht="19.149999999999999" customHeight="1" x14ac:dyDescent="0.2">
      <c r="A8" s="636" t="s">
        <v>241</v>
      </c>
      <c r="B8" s="636"/>
      <c r="C8" s="636"/>
      <c r="D8" s="636"/>
      <c r="E8" s="636"/>
      <c r="F8" s="637" t="s">
        <v>242</v>
      </c>
      <c r="G8" s="637"/>
      <c r="H8" s="638" t="s">
        <v>243</v>
      </c>
      <c r="I8" s="638"/>
      <c r="J8" s="638"/>
      <c r="K8" s="638"/>
      <c r="L8" s="638"/>
      <c r="M8" s="638"/>
      <c r="N8" s="638"/>
      <c r="O8" s="638"/>
      <c r="P8" s="638"/>
      <c r="Q8" s="638"/>
      <c r="R8" s="638"/>
    </row>
    <row r="9" spans="1:19" x14ac:dyDescent="0.2">
      <c r="J9" s="399"/>
    </row>
  </sheetData>
  <mergeCells count="15">
    <mergeCell ref="M3:N3"/>
    <mergeCell ref="O3:P3"/>
    <mergeCell ref="Q3:R3"/>
    <mergeCell ref="A1:R1"/>
    <mergeCell ref="A8:E8"/>
    <mergeCell ref="F8:G8"/>
    <mergeCell ref="H8:R8"/>
    <mergeCell ref="A2:G2"/>
    <mergeCell ref="H2:R2"/>
    <mergeCell ref="A3:B3"/>
    <mergeCell ref="C3:D3"/>
    <mergeCell ref="E3:F3"/>
    <mergeCell ref="G3:H3"/>
    <mergeCell ref="I3:J3"/>
    <mergeCell ref="K3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17"/>
  <sheetViews>
    <sheetView showGridLines="0" view="pageBreakPreview" topLeftCell="A7" zoomScale="130" zoomScaleNormal="100" zoomScaleSheetLayoutView="130" workbookViewId="0">
      <selection activeCell="D14" sqref="D14"/>
    </sheetView>
  </sheetViews>
  <sheetFormatPr defaultColWidth="9.140625" defaultRowHeight="10.5" x14ac:dyDescent="0.15"/>
  <cols>
    <col min="1" max="1" width="7" style="468" customWidth="1"/>
    <col min="2" max="2" width="19.5703125" style="468" customWidth="1"/>
    <col min="3" max="3" width="6.85546875" style="468" customWidth="1"/>
    <col min="4" max="4" width="10.140625" style="468" customWidth="1"/>
    <col min="5" max="5" width="7.85546875" style="468" customWidth="1"/>
    <col min="6" max="6" width="12.42578125" style="468" bestFit="1" customWidth="1"/>
    <col min="7" max="7" width="14.28515625" style="468" bestFit="1" customWidth="1"/>
    <col min="8" max="8" width="9.42578125" style="468" customWidth="1"/>
    <col min="9" max="9" width="12.85546875" style="468" bestFit="1" customWidth="1"/>
    <col min="10" max="10" width="14" style="468" bestFit="1" customWidth="1"/>
    <col min="11" max="16384" width="9.140625" style="468"/>
  </cols>
  <sheetData>
    <row r="9" spans="1:10" ht="21" customHeight="1" x14ac:dyDescent="0.15">
      <c r="A9" s="576" t="s">
        <v>283</v>
      </c>
      <c r="B9" s="576" t="s">
        <v>284</v>
      </c>
      <c r="C9" s="576" t="s">
        <v>285</v>
      </c>
      <c r="D9" s="576" t="s">
        <v>286</v>
      </c>
      <c r="E9" s="575" t="s">
        <v>281</v>
      </c>
      <c r="F9" s="575"/>
      <c r="G9" s="575"/>
      <c r="H9" s="575" t="s">
        <v>282</v>
      </c>
      <c r="I9" s="575"/>
      <c r="J9" s="575"/>
    </row>
    <row r="10" spans="1:10" ht="50.25" customHeight="1" x14ac:dyDescent="0.15">
      <c r="A10" s="576"/>
      <c r="B10" s="576"/>
      <c r="C10" s="576"/>
      <c r="D10" s="576"/>
      <c r="E10" s="474" t="s">
        <v>287</v>
      </c>
      <c r="F10" s="474" t="s">
        <v>288</v>
      </c>
      <c r="G10" s="474" t="s">
        <v>289</v>
      </c>
      <c r="H10" s="474" t="s">
        <v>290</v>
      </c>
      <c r="I10" s="474" t="s">
        <v>291</v>
      </c>
      <c r="J10" s="474" t="s">
        <v>292</v>
      </c>
    </row>
    <row r="11" spans="1:10" ht="35.25" customHeight="1" x14ac:dyDescent="0.15">
      <c r="A11" s="469">
        <v>1</v>
      </c>
      <c r="B11" s="470" t="s">
        <v>275</v>
      </c>
      <c r="C11" s="469" t="s">
        <v>280</v>
      </c>
      <c r="D11" s="473">
        <f>'ANAL. TÉCNICO'!G169</f>
        <v>0</v>
      </c>
      <c r="E11" s="471">
        <v>10</v>
      </c>
      <c r="F11" s="475">
        <f>$E11*$D11</f>
        <v>0</v>
      </c>
      <c r="G11" s="475">
        <f>$F11*12</f>
        <v>0</v>
      </c>
      <c r="H11" s="469">
        <v>2</v>
      </c>
      <c r="I11" s="475">
        <f>$D11*$H11</f>
        <v>0</v>
      </c>
      <c r="J11" s="475">
        <f>$I11*12</f>
        <v>0</v>
      </c>
    </row>
    <row r="12" spans="1:10" ht="35.25" customHeight="1" x14ac:dyDescent="0.15">
      <c r="A12" s="469">
        <f>A11+1</f>
        <v>2</v>
      </c>
      <c r="B12" s="470" t="s">
        <v>276</v>
      </c>
      <c r="C12" s="469" t="s">
        <v>280</v>
      </c>
      <c r="D12" s="473">
        <f>'ANAL. JUNIOR'!G169</f>
        <v>0</v>
      </c>
      <c r="E12" s="471">
        <v>16</v>
      </c>
      <c r="F12" s="475">
        <f t="shared" ref="F12:F16" si="0">$E12*$D12</f>
        <v>0</v>
      </c>
      <c r="G12" s="475">
        <f t="shared" ref="G12:G16" si="1">$F12*12</f>
        <v>0</v>
      </c>
      <c r="H12" s="469">
        <v>5</v>
      </c>
      <c r="I12" s="475">
        <f t="shared" ref="I12:I16" si="2">$D12*$H12</f>
        <v>0</v>
      </c>
      <c r="J12" s="475">
        <f t="shared" ref="J12:J16" si="3">$I12*12</f>
        <v>0</v>
      </c>
    </row>
    <row r="13" spans="1:10" ht="35.25" customHeight="1" x14ac:dyDescent="0.15">
      <c r="A13" s="469">
        <f t="shared" ref="A13:A16" si="4">A12+1</f>
        <v>3</v>
      </c>
      <c r="B13" s="470" t="s">
        <v>277</v>
      </c>
      <c r="C13" s="469" t="s">
        <v>280</v>
      </c>
      <c r="D13" s="473">
        <f>'ANAL. SENIOR'!G169</f>
        <v>0</v>
      </c>
      <c r="E13" s="471">
        <v>5</v>
      </c>
      <c r="F13" s="475">
        <f t="shared" si="0"/>
        <v>0</v>
      </c>
      <c r="G13" s="475">
        <f t="shared" si="1"/>
        <v>0</v>
      </c>
      <c r="H13" s="469">
        <v>2</v>
      </c>
      <c r="I13" s="475">
        <f t="shared" si="2"/>
        <v>0</v>
      </c>
      <c r="J13" s="475">
        <f t="shared" si="3"/>
        <v>0</v>
      </c>
    </row>
    <row r="14" spans="1:10" ht="35.25" customHeight="1" x14ac:dyDescent="0.15">
      <c r="A14" s="469">
        <f t="shared" si="4"/>
        <v>4</v>
      </c>
      <c r="B14" s="470" t="s">
        <v>295</v>
      </c>
      <c r="C14" s="469" t="s">
        <v>280</v>
      </c>
      <c r="D14" s="473">
        <f>'TÉC. INFORM.'!G169</f>
        <v>0</v>
      </c>
      <c r="E14" s="471">
        <v>10</v>
      </c>
      <c r="F14" s="475">
        <f t="shared" si="0"/>
        <v>0</v>
      </c>
      <c r="G14" s="475">
        <f t="shared" si="1"/>
        <v>0</v>
      </c>
      <c r="H14" s="469">
        <v>2</v>
      </c>
      <c r="I14" s="475">
        <f t="shared" si="2"/>
        <v>0</v>
      </c>
      <c r="J14" s="475">
        <f t="shared" si="3"/>
        <v>0</v>
      </c>
    </row>
    <row r="15" spans="1:10" ht="21" x14ac:dyDescent="0.15">
      <c r="A15" s="469">
        <f t="shared" si="4"/>
        <v>5</v>
      </c>
      <c r="B15" s="472" t="s">
        <v>278</v>
      </c>
      <c r="C15" s="469" t="s">
        <v>280</v>
      </c>
      <c r="D15" s="473">
        <f>GESTOR!G169</f>
        <v>0</v>
      </c>
      <c r="E15" s="471">
        <v>5</v>
      </c>
      <c r="F15" s="475">
        <f t="shared" si="0"/>
        <v>0</v>
      </c>
      <c r="G15" s="475">
        <f t="shared" si="1"/>
        <v>0</v>
      </c>
      <c r="H15" s="469">
        <v>2</v>
      </c>
      <c r="I15" s="475">
        <f t="shared" si="2"/>
        <v>0</v>
      </c>
      <c r="J15" s="475">
        <f t="shared" si="3"/>
        <v>0</v>
      </c>
    </row>
    <row r="16" spans="1:10" ht="45" customHeight="1" x14ac:dyDescent="0.15">
      <c r="A16" s="476">
        <f t="shared" si="4"/>
        <v>6</v>
      </c>
      <c r="B16" s="477" t="s">
        <v>279</v>
      </c>
      <c r="C16" s="476" t="s">
        <v>280</v>
      </c>
      <c r="D16" s="478">
        <f>DESENVOLVEDOR!G169</f>
        <v>0</v>
      </c>
      <c r="E16" s="479">
        <v>5</v>
      </c>
      <c r="F16" s="475">
        <f t="shared" si="0"/>
        <v>0</v>
      </c>
      <c r="G16" s="475">
        <f t="shared" si="1"/>
        <v>0</v>
      </c>
      <c r="H16" s="469">
        <v>1</v>
      </c>
      <c r="I16" s="475">
        <f t="shared" si="2"/>
        <v>0</v>
      </c>
      <c r="J16" s="475">
        <f t="shared" si="3"/>
        <v>0</v>
      </c>
    </row>
    <row r="17" spans="1:10" ht="35.25" customHeight="1" x14ac:dyDescent="0.15">
      <c r="A17" s="480"/>
      <c r="B17" s="481"/>
      <c r="C17" s="482" t="s">
        <v>260</v>
      </c>
      <c r="D17" s="483"/>
      <c r="E17" s="471">
        <f t="shared" ref="E17:J17" si="5">SUM(E11:E16)</f>
        <v>51</v>
      </c>
      <c r="F17" s="484">
        <f t="shared" si="5"/>
        <v>0</v>
      </c>
      <c r="G17" s="485">
        <f t="shared" si="5"/>
        <v>0</v>
      </c>
      <c r="H17" s="469">
        <f t="shared" si="5"/>
        <v>14</v>
      </c>
      <c r="I17" s="484">
        <f t="shared" si="5"/>
        <v>0</v>
      </c>
      <c r="J17" s="485">
        <f t="shared" si="5"/>
        <v>0</v>
      </c>
    </row>
  </sheetData>
  <mergeCells count="6">
    <mergeCell ref="E9:G9"/>
    <mergeCell ref="H9:J9"/>
    <mergeCell ref="A9:A10"/>
    <mergeCell ref="B9:B10"/>
    <mergeCell ref="C9:C10"/>
    <mergeCell ref="D9:D10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1"/>
  <sheetViews>
    <sheetView showGridLines="0" topLeftCell="A19" zoomScale="175" zoomScaleNormal="175" zoomScaleSheetLayoutView="145" workbookViewId="0">
      <selection activeCell="C26" sqref="C26"/>
    </sheetView>
  </sheetViews>
  <sheetFormatPr defaultColWidth="9.140625" defaultRowHeight="11.25" x14ac:dyDescent="0.15"/>
  <cols>
    <col min="1" max="1" width="4.7109375" style="1" customWidth="1"/>
    <col min="2" max="2" width="55" style="59" customWidth="1"/>
    <col min="3" max="3" width="13.5703125" style="2" customWidth="1"/>
    <col min="4" max="16384" width="9.140625" style="1"/>
  </cols>
  <sheetData>
    <row r="2" spans="1:7" x14ac:dyDescent="0.15">
      <c r="B2" s="56"/>
      <c r="C2" s="3"/>
    </row>
    <row r="3" spans="1:7" x14ac:dyDescent="0.15">
      <c r="B3" s="56"/>
      <c r="C3" s="3"/>
    </row>
    <row r="4" spans="1:7" x14ac:dyDescent="0.15">
      <c r="B4" s="56"/>
      <c r="C4" s="3"/>
    </row>
    <row r="5" spans="1:7" s="4" customFormat="1" ht="12.75" x14ac:dyDescent="0.15">
      <c r="A5" s="572" t="s">
        <v>1</v>
      </c>
      <c r="B5" s="572"/>
      <c r="C5" s="572"/>
    </row>
    <row r="6" spans="1:7" s="4" customFormat="1" ht="12.75" x14ac:dyDescent="0.15">
      <c r="A6" s="572"/>
      <c r="B6" s="572"/>
      <c r="C6" s="572"/>
    </row>
    <row r="7" spans="1:7" s="4" customFormat="1" ht="12.75" customHeight="1" x14ac:dyDescent="0.15">
      <c r="A7" s="572"/>
      <c r="B7" s="572"/>
      <c r="C7" s="572"/>
    </row>
    <row r="8" spans="1:7" s="89" customFormat="1" ht="30.6" customHeight="1" x14ac:dyDescent="0.2">
      <c r="A8" s="581" t="s">
        <v>2</v>
      </c>
      <c r="B8" s="581"/>
      <c r="C8" s="581"/>
    </row>
    <row r="9" spans="1:7" s="89" customFormat="1" ht="18" customHeight="1" x14ac:dyDescent="0.2">
      <c r="A9" s="123"/>
      <c r="B9" s="86"/>
      <c r="C9" s="86"/>
      <c r="D9" s="124"/>
      <c r="E9" s="124"/>
      <c r="F9" s="124"/>
      <c r="G9" s="88"/>
    </row>
    <row r="10" spans="1:7" s="89" customFormat="1" ht="18" customHeight="1" x14ac:dyDescent="0.2">
      <c r="A10" s="573" t="s">
        <v>54</v>
      </c>
      <c r="B10" s="573"/>
      <c r="C10" s="574"/>
      <c r="D10" s="574"/>
      <c r="E10" s="574"/>
      <c r="F10" s="124"/>
      <c r="G10" s="88"/>
    </row>
    <row r="11" spans="1:7" s="89" customFormat="1" ht="18" customHeight="1" x14ac:dyDescent="0.2">
      <c r="A11" s="573" t="s">
        <v>55</v>
      </c>
      <c r="B11" s="573"/>
      <c r="C11" s="574"/>
      <c r="D11" s="574"/>
      <c r="E11" s="574"/>
      <c r="F11" s="124"/>
      <c r="G11" s="88"/>
    </row>
    <row r="12" spans="1:7" s="89" customFormat="1" ht="18" customHeight="1" x14ac:dyDescent="0.2">
      <c r="A12" s="289" t="s">
        <v>56</v>
      </c>
      <c r="B12" s="247">
        <v>44416</v>
      </c>
      <c r="C12" s="289"/>
      <c r="D12" s="289" t="s">
        <v>57</v>
      </c>
      <c r="E12" s="248">
        <v>0.33333333333333331</v>
      </c>
      <c r="F12" s="124"/>
      <c r="G12" s="88"/>
    </row>
    <row r="13" spans="1:7" s="89" customFormat="1" ht="18" customHeight="1" x14ac:dyDescent="0.2">
      <c r="A13" s="228"/>
      <c r="B13" s="229"/>
      <c r="C13" s="228"/>
      <c r="D13" s="229"/>
      <c r="E13" s="124"/>
      <c r="F13" s="124"/>
      <c r="G13" s="88"/>
    </row>
    <row r="14" spans="1:7" s="89" customFormat="1" ht="18" customHeight="1" x14ac:dyDescent="0.2">
      <c r="A14" s="277" t="s">
        <v>58</v>
      </c>
      <c r="B14" s="229"/>
      <c r="C14" s="228"/>
      <c r="D14" s="229"/>
      <c r="E14" s="124"/>
      <c r="F14" s="124"/>
      <c r="G14" s="88"/>
    </row>
    <row r="15" spans="1:7" s="89" customFormat="1" ht="18" customHeight="1" x14ac:dyDescent="0.2">
      <c r="A15" s="290" t="s">
        <v>13</v>
      </c>
      <c r="B15" s="288" t="s">
        <v>59</v>
      </c>
      <c r="C15" s="249"/>
      <c r="D15" s="232"/>
      <c r="E15" s="232"/>
      <c r="F15" s="294"/>
      <c r="G15" s="88"/>
    </row>
    <row r="16" spans="1:7" s="89" customFormat="1" ht="18" customHeight="1" x14ac:dyDescent="0.2">
      <c r="A16" s="290" t="s">
        <v>15</v>
      </c>
      <c r="B16" s="288" t="s">
        <v>60</v>
      </c>
      <c r="C16" s="249" t="s">
        <v>61</v>
      </c>
      <c r="D16" s="232"/>
      <c r="E16" s="232"/>
      <c r="F16" s="294"/>
      <c r="G16" s="88"/>
    </row>
    <row r="17" spans="1:7" s="89" customFormat="1" ht="18" customHeight="1" x14ac:dyDescent="0.2">
      <c r="A17" s="290" t="s">
        <v>17</v>
      </c>
      <c r="B17" s="288" t="s">
        <v>62</v>
      </c>
      <c r="C17" s="249">
        <v>44197</v>
      </c>
      <c r="D17" s="232"/>
      <c r="E17" s="232"/>
      <c r="F17" s="294"/>
      <c r="G17" s="88"/>
    </row>
    <row r="18" spans="1:7" s="89" customFormat="1" ht="18" customHeight="1" x14ac:dyDescent="0.2">
      <c r="A18" s="290" t="s">
        <v>19</v>
      </c>
      <c r="B18" s="288" t="s">
        <v>63</v>
      </c>
      <c r="C18" s="250">
        <v>12</v>
      </c>
      <c r="D18" s="232"/>
      <c r="E18" s="232"/>
      <c r="F18" s="295"/>
      <c r="G18" s="88"/>
    </row>
    <row r="19" spans="1:7" s="89" customFormat="1" ht="18" customHeight="1" x14ac:dyDescent="0.2">
      <c r="A19" s="230"/>
      <c r="B19" s="232"/>
      <c r="C19" s="232"/>
      <c r="D19" s="232"/>
      <c r="E19" s="232"/>
      <c r="F19" s="124"/>
      <c r="G19" s="88"/>
    </row>
    <row r="21" spans="1:7" s="181" customFormat="1" ht="34.5" customHeight="1" x14ac:dyDescent="0.2">
      <c r="A21" s="508" t="s">
        <v>3</v>
      </c>
      <c r="B21" s="509"/>
      <c r="C21" s="67" t="str">
        <f>A5</f>
        <v>PLANILHA DE FORMAÇÃO DE PREÇOS</v>
      </c>
    </row>
    <row r="22" spans="1:7" s="7" customFormat="1" ht="17.25" customHeight="1" x14ac:dyDescent="0.2">
      <c r="A22" s="178">
        <v>1</v>
      </c>
      <c r="B22" s="269" t="s">
        <v>4</v>
      </c>
      <c r="C22" s="193"/>
    </row>
    <row r="23" spans="1:7" s="7" customFormat="1" ht="17.25" customHeight="1" x14ac:dyDescent="0.2">
      <c r="A23" s="178">
        <v>2</v>
      </c>
      <c r="B23" s="183" t="s">
        <v>5</v>
      </c>
      <c r="C23" s="185">
        <v>1212</v>
      </c>
    </row>
    <row r="24" spans="1:7" s="7" customFormat="1" ht="17.25" customHeight="1" x14ac:dyDescent="0.2">
      <c r="A24" s="178">
        <v>3</v>
      </c>
      <c r="B24" s="118" t="s">
        <v>6</v>
      </c>
      <c r="C24" s="185">
        <f>C26</f>
        <v>0</v>
      </c>
    </row>
    <row r="25" spans="1:7" s="7" customFormat="1" ht="17.25" customHeight="1" x14ac:dyDescent="0.2">
      <c r="A25" s="178">
        <v>4</v>
      </c>
      <c r="B25" s="382" t="s">
        <v>7</v>
      </c>
      <c r="C25" s="383" t="s">
        <v>8</v>
      </c>
    </row>
    <row r="26" spans="1:7" s="7" customFormat="1" ht="17.25" customHeight="1" x14ac:dyDescent="0.2">
      <c r="A26" s="178">
        <v>5</v>
      </c>
      <c r="B26" s="382" t="s">
        <v>107</v>
      </c>
      <c r="C26" s="384"/>
    </row>
    <row r="27" spans="1:7" s="7" customFormat="1" ht="17.25" customHeight="1" x14ac:dyDescent="0.2">
      <c r="A27" s="178">
        <v>6</v>
      </c>
      <c r="B27" s="382" t="s">
        <v>202</v>
      </c>
      <c r="C27" s="383" t="s">
        <v>139</v>
      </c>
    </row>
    <row r="28" spans="1:7" s="7" customFormat="1" ht="17.25" customHeight="1" x14ac:dyDescent="0.2">
      <c r="A28" s="178">
        <v>7</v>
      </c>
      <c r="B28" s="382" t="s">
        <v>209</v>
      </c>
      <c r="C28" s="383" t="s">
        <v>8</v>
      </c>
    </row>
    <row r="29" spans="1:7" s="7" customFormat="1" ht="17.25" customHeight="1" x14ac:dyDescent="0.2">
      <c r="A29" s="178">
        <v>7</v>
      </c>
      <c r="B29" s="382" t="s">
        <v>226</v>
      </c>
      <c r="C29" s="383" t="s">
        <v>262</v>
      </c>
    </row>
    <row r="30" spans="1:7" ht="17.25" customHeight="1" x14ac:dyDescent="0.15"/>
    <row r="31" spans="1:7" ht="17.25" customHeight="1" x14ac:dyDescent="0.15">
      <c r="A31" s="85" t="s">
        <v>203</v>
      </c>
      <c r="B31" s="86"/>
      <c r="C31" s="86"/>
    </row>
    <row r="32" spans="1:7" ht="23.25" customHeight="1" x14ac:dyDescent="0.15">
      <c r="A32" s="6" t="s">
        <v>10</v>
      </c>
      <c r="B32" s="184" t="s">
        <v>11</v>
      </c>
      <c r="C32" s="19" t="s">
        <v>12</v>
      </c>
    </row>
    <row r="33" spans="1:3" ht="17.25" customHeight="1" x14ac:dyDescent="0.15">
      <c r="A33" s="8" t="s">
        <v>13</v>
      </c>
      <c r="B33" s="262" t="s">
        <v>14</v>
      </c>
      <c r="C33" s="72">
        <v>0.2</v>
      </c>
    </row>
    <row r="34" spans="1:3" ht="17.25" customHeight="1" x14ac:dyDescent="0.15">
      <c r="A34" s="10" t="s">
        <v>15</v>
      </c>
      <c r="B34" s="264" t="s">
        <v>16</v>
      </c>
      <c r="C34" s="71">
        <v>2.5000000000000001E-2</v>
      </c>
    </row>
    <row r="35" spans="1:3" ht="17.25" customHeight="1" x14ac:dyDescent="0.15">
      <c r="A35" s="10" t="s">
        <v>17</v>
      </c>
      <c r="B35" s="266" t="s">
        <v>18</v>
      </c>
      <c r="C35" s="71">
        <v>0.03</v>
      </c>
    </row>
    <row r="36" spans="1:3" ht="17.25" customHeight="1" x14ac:dyDescent="0.15">
      <c r="A36" s="10" t="s">
        <v>19</v>
      </c>
      <c r="B36" s="266" t="s">
        <v>20</v>
      </c>
      <c r="C36" s="71">
        <v>1.4999999999999999E-2</v>
      </c>
    </row>
    <row r="37" spans="1:3" ht="17.25" customHeight="1" x14ac:dyDescent="0.15">
      <c r="A37" s="10" t="s">
        <v>21</v>
      </c>
      <c r="B37" s="264" t="s">
        <v>22</v>
      </c>
      <c r="C37" s="71">
        <v>0.01</v>
      </c>
    </row>
    <row r="38" spans="1:3" ht="17.25" customHeight="1" x14ac:dyDescent="0.15">
      <c r="A38" s="10" t="s">
        <v>23</v>
      </c>
      <c r="B38" s="264" t="s">
        <v>24</v>
      </c>
      <c r="C38" s="71">
        <v>6.0000000000000001E-3</v>
      </c>
    </row>
    <row r="39" spans="1:3" ht="17.25" customHeight="1" x14ac:dyDescent="0.15">
      <c r="A39" s="10" t="s">
        <v>25</v>
      </c>
      <c r="B39" s="264" t="s">
        <v>26</v>
      </c>
      <c r="C39" s="71">
        <v>2E-3</v>
      </c>
    </row>
    <row r="40" spans="1:3" ht="17.25" customHeight="1" x14ac:dyDescent="0.15">
      <c r="A40" s="177" t="s">
        <v>27</v>
      </c>
      <c r="B40" s="264" t="s">
        <v>28</v>
      </c>
      <c r="C40" s="73">
        <v>0.08</v>
      </c>
    </row>
    <row r="41" spans="1:3" ht="17.25" customHeight="1" x14ac:dyDescent="0.15">
      <c r="A41" s="13"/>
      <c r="B41" s="23" t="s">
        <v>29</v>
      </c>
      <c r="C41" s="47">
        <f>SUM(C33:C40)</f>
        <v>0.36800000000000005</v>
      </c>
    </row>
    <row r="42" spans="1:3" ht="17.25" customHeight="1" x14ac:dyDescent="0.15">
      <c r="A42" s="577" t="s">
        <v>30</v>
      </c>
      <c r="B42" s="578"/>
      <c r="C42" s="578"/>
    </row>
    <row r="43" spans="1:3" ht="17.25" customHeight="1" x14ac:dyDescent="0.15">
      <c r="A43" s="579" t="s">
        <v>31</v>
      </c>
      <c r="B43" s="580"/>
      <c r="C43" s="580"/>
    </row>
    <row r="44" spans="1:3" ht="17.25" customHeight="1" x14ac:dyDescent="0.15">
      <c r="A44" s="50"/>
      <c r="B44" s="194"/>
      <c r="C44" s="125"/>
    </row>
    <row r="45" spans="1:3" ht="17.25" customHeight="1" x14ac:dyDescent="0.15">
      <c r="A45" s="29" t="s">
        <v>32</v>
      </c>
      <c r="B45" s="61" t="s">
        <v>33</v>
      </c>
      <c r="C45" s="269"/>
    </row>
    <row r="46" spans="1:3" ht="17.25" customHeight="1" x14ac:dyDescent="0.15">
      <c r="A46" s="10" t="s">
        <v>13</v>
      </c>
      <c r="B46" s="191" t="s">
        <v>34</v>
      </c>
      <c r="C46" s="192"/>
    </row>
    <row r="47" spans="1:3" ht="17.25" customHeight="1" x14ac:dyDescent="0.15">
      <c r="A47" s="466" t="s">
        <v>15</v>
      </c>
      <c r="B47" s="467" t="s">
        <v>268</v>
      </c>
      <c r="C47" s="442"/>
    </row>
    <row r="48" spans="1:3" ht="17.25" customHeight="1" x14ac:dyDescent="0.15">
      <c r="A48" s="10" t="s">
        <v>17</v>
      </c>
      <c r="B48" s="441" t="s">
        <v>270</v>
      </c>
      <c r="C48" s="486"/>
    </row>
    <row r="49" spans="1:3" ht="17.25" customHeight="1" x14ac:dyDescent="0.15">
      <c r="A49" s="10" t="s">
        <v>19</v>
      </c>
      <c r="B49" s="264" t="s">
        <v>269</v>
      </c>
      <c r="C49" s="108"/>
    </row>
    <row r="50" spans="1:3" ht="17.25" customHeight="1" x14ac:dyDescent="0.15">
      <c r="A50" s="10" t="s">
        <v>21</v>
      </c>
      <c r="B50" s="264" t="s">
        <v>274</v>
      </c>
      <c r="C50" s="108"/>
    </row>
    <row r="51" spans="1:3" ht="17.25" customHeight="1" x14ac:dyDescent="0.15">
      <c r="A51" s="10" t="s">
        <v>23</v>
      </c>
      <c r="B51" s="441" t="s">
        <v>271</v>
      </c>
      <c r="C51" s="11"/>
    </row>
    <row r="52" spans="1:3" ht="17.25" customHeight="1" x14ac:dyDescent="0.15">
      <c r="A52" s="10" t="s">
        <v>25</v>
      </c>
      <c r="B52" s="441" t="s">
        <v>272</v>
      </c>
      <c r="C52" s="11"/>
    </row>
    <row r="53" spans="1:3" ht="17.25" customHeight="1" x14ac:dyDescent="0.15">
      <c r="A53" s="10" t="s">
        <v>27</v>
      </c>
      <c r="B53" s="441" t="s">
        <v>273</v>
      </c>
      <c r="C53" s="11"/>
    </row>
    <row r="54" spans="1:3" ht="17.25" customHeight="1" x14ac:dyDescent="0.15">
      <c r="A54" s="177" t="s">
        <v>10</v>
      </c>
      <c r="B54" s="273" t="str">
        <f>""</f>
        <v/>
      </c>
      <c r="C54" s="12"/>
    </row>
    <row r="55" spans="1:3" ht="17.25" customHeight="1" x14ac:dyDescent="0.15">
      <c r="A55" s="13"/>
      <c r="B55" s="23" t="s">
        <v>29</v>
      </c>
      <c r="C55" s="345">
        <f>SUM(C47:C54)</f>
        <v>0</v>
      </c>
    </row>
    <row r="56" spans="1:3" ht="17.25" customHeight="1" x14ac:dyDescent="0.15">
      <c r="A56" s="50"/>
      <c r="B56" s="194"/>
      <c r="C56" s="194"/>
    </row>
    <row r="57" spans="1:3" ht="17.25" customHeight="1" x14ac:dyDescent="0.15">
      <c r="A57" s="123" t="s">
        <v>45</v>
      </c>
      <c r="B57" s="126"/>
      <c r="C57" s="126"/>
    </row>
    <row r="58" spans="1:3" ht="17.25" customHeight="1" x14ac:dyDescent="0.15">
      <c r="A58" s="6">
        <v>5</v>
      </c>
      <c r="B58" s="62" t="s">
        <v>46</v>
      </c>
      <c r="C58" s="60" t="s">
        <v>47</v>
      </c>
    </row>
    <row r="59" spans="1:3" ht="17.25" customHeight="1" x14ac:dyDescent="0.15">
      <c r="A59" s="8" t="s">
        <v>13</v>
      </c>
      <c r="B59" s="262" t="s">
        <v>48</v>
      </c>
      <c r="C59" s="158"/>
    </row>
    <row r="60" spans="1:3" ht="17.25" customHeight="1" x14ac:dyDescent="0.15">
      <c r="A60" s="10" t="s">
        <v>15</v>
      </c>
      <c r="B60" s="264" t="s">
        <v>49</v>
      </c>
      <c r="C60" s="161"/>
    </row>
    <row r="61" spans="1:3" ht="17.25" customHeight="1" x14ac:dyDescent="0.15">
      <c r="A61" s="10" t="s">
        <v>17</v>
      </c>
      <c r="B61" s="264" t="s">
        <v>50</v>
      </c>
      <c r="C61" s="161"/>
    </row>
    <row r="62" spans="1:3" ht="17.25" customHeight="1" x14ac:dyDescent="0.15">
      <c r="A62" s="177" t="s">
        <v>25</v>
      </c>
      <c r="B62" s="273" t="s">
        <v>51</v>
      </c>
      <c r="C62" s="34"/>
    </row>
    <row r="63" spans="1:3" ht="17.25" customHeight="1" x14ac:dyDescent="0.15">
      <c r="A63" s="13"/>
      <c r="B63" s="23" t="s">
        <v>29</v>
      </c>
      <c r="C63" s="14">
        <f>SUM(C59:C62)</f>
        <v>0</v>
      </c>
    </row>
    <row r="65" spans="1:3" ht="12.75" x14ac:dyDescent="0.15">
      <c r="A65" s="123" t="s">
        <v>224</v>
      </c>
      <c r="B65" s="126"/>
      <c r="C65" s="126"/>
    </row>
    <row r="66" spans="1:3" x14ac:dyDescent="0.15">
      <c r="A66" s="6">
        <v>0</v>
      </c>
      <c r="B66" s="62" t="s">
        <v>210</v>
      </c>
      <c r="C66" s="60" t="s">
        <v>211</v>
      </c>
    </row>
    <row r="67" spans="1:3" ht="12.75" x14ac:dyDescent="0.15">
      <c r="A67" s="100" t="s">
        <v>13</v>
      </c>
      <c r="B67" s="310" t="s">
        <v>213</v>
      </c>
      <c r="C67" s="309">
        <v>2022</v>
      </c>
    </row>
    <row r="68" spans="1:3" x14ac:dyDescent="0.15">
      <c r="A68" s="10" t="s">
        <v>15</v>
      </c>
      <c r="B68" s="251" t="s">
        <v>214</v>
      </c>
      <c r="C68" s="304">
        <f>DATE(C67,12,31)-DATE(C67,1,1)+1</f>
        <v>365</v>
      </c>
    </row>
    <row r="69" spans="1:3" x14ac:dyDescent="0.15">
      <c r="A69" s="10" t="s">
        <v>17</v>
      </c>
      <c r="B69" s="251" t="str">
        <f>"Média de dias no mês ("&amp;C68&amp;" ÷ 12 )"</f>
        <v>Média de dias no mês (365 ÷ 12 )</v>
      </c>
      <c r="C69" s="304">
        <f>ROUND(C68/12,2)</f>
        <v>30.42</v>
      </c>
    </row>
    <row r="70" spans="1:3" s="308" customFormat="1" ht="12.75" x14ac:dyDescent="0.2">
      <c r="A70" s="306"/>
      <c r="B70" s="305" t="str">
        <f>"MÉDIA POR EMPREGADO ("&amp;C69&amp;" ÷2)"</f>
        <v>MÉDIA POR EMPREGADO (30,42 ÷2)</v>
      </c>
      <c r="C70" s="307">
        <f>ROUND(C69/2,2)</f>
        <v>15.21</v>
      </c>
    </row>
    <row r="72" spans="1:3" ht="12.75" x14ac:dyDescent="0.15">
      <c r="A72" s="123" t="s">
        <v>225</v>
      </c>
      <c r="B72" s="126"/>
      <c r="C72" s="126"/>
    </row>
    <row r="73" spans="1:3" x14ac:dyDescent="0.15">
      <c r="A73" s="6">
        <v>0</v>
      </c>
      <c r="B73" s="62" t="s">
        <v>210</v>
      </c>
      <c r="C73" s="60" t="s">
        <v>211</v>
      </c>
    </row>
    <row r="74" spans="1:3" ht="12.75" x14ac:dyDescent="0.15">
      <c r="A74" s="100" t="s">
        <v>13</v>
      </c>
      <c r="B74" s="310" t="s">
        <v>213</v>
      </c>
      <c r="C74" s="309">
        <f>C67</f>
        <v>2022</v>
      </c>
    </row>
    <row r="75" spans="1:3" ht="12.75" x14ac:dyDescent="0.15">
      <c r="A75" s="104" t="s">
        <v>15</v>
      </c>
      <c r="B75" s="311" t="s">
        <v>212</v>
      </c>
      <c r="C75" s="309">
        <v>10</v>
      </c>
    </row>
    <row r="76" spans="1:3" x14ac:dyDescent="0.15">
      <c r="A76" s="10" t="s">
        <v>17</v>
      </c>
      <c r="B76" s="251" t="s">
        <v>214</v>
      </c>
      <c r="C76" s="304">
        <f>DATE(C74,12,31)-DATE(C74,1,1)+1</f>
        <v>365</v>
      </c>
    </row>
    <row r="77" spans="1:3" x14ac:dyDescent="0.15">
      <c r="A77" s="10" t="s">
        <v>19</v>
      </c>
      <c r="B77" s="251" t="str">
        <f>"Semanas no ano: "&amp;C76&amp;"  ÷  "&amp;"7 = "</f>
        <v xml:space="preserve">Semanas no ano: 365  ÷  7 = </v>
      </c>
      <c r="C77" s="304">
        <f>ROUND(C76/7,4)</f>
        <v>52.142899999999997</v>
      </c>
    </row>
    <row r="78" spans="1:3" x14ac:dyDescent="0.15">
      <c r="A78" s="10" t="s">
        <v>21</v>
      </c>
      <c r="B78" s="251" t="str">
        <f>"Dias de final de semana no ano: "&amp;C77&amp;" X 2 = "</f>
        <v xml:space="preserve">Dias de final de semana no ano: 52,1429 X 2 = </v>
      </c>
      <c r="C78" s="304">
        <f>C77*2</f>
        <v>104.28579999999999</v>
      </c>
    </row>
    <row r="79" spans="1:3" x14ac:dyDescent="0.15">
      <c r="A79" s="10" t="s">
        <v>23</v>
      </c>
      <c r="B79" s="251" t="str">
        <f>"Dias não trabalhados no ano: "&amp;C78&amp;" + "&amp;C75&amp;" = "</f>
        <v xml:space="preserve">Dias não trabalhados no ano: 104,2858 + 10 = </v>
      </c>
      <c r="C79" s="304">
        <f>C78+C75</f>
        <v>114.28579999999999</v>
      </c>
    </row>
    <row r="80" spans="1:3" x14ac:dyDescent="0.15">
      <c r="A80" s="10" t="s">
        <v>25</v>
      </c>
      <c r="B80" s="251" t="str">
        <f>"Dias de trabalho no ano: "&amp;C76&amp;" - "&amp;C79&amp;" = "&amp;C76-C79</f>
        <v>Dias de trabalho no ano: 365 - 114,2858 = 250,7142</v>
      </c>
      <c r="C80" s="304">
        <f>ROUNDUP(C76-C79,0)</f>
        <v>251</v>
      </c>
    </row>
    <row r="81" spans="1:3" ht="12.75" x14ac:dyDescent="0.15">
      <c r="A81" s="306"/>
      <c r="B81" s="305" t="str">
        <f>"MÉDIA MENSAL DE DIAS DE TRABALHO: "&amp;C80&amp;"÷12 = "</f>
        <v xml:space="preserve">MÉDIA MENSAL DE DIAS DE TRABALHO: 251÷12 = </v>
      </c>
      <c r="C81" s="307">
        <f>ROUND(C80/12,2)</f>
        <v>20.92</v>
      </c>
    </row>
  </sheetData>
  <dataConsolidate link="1"/>
  <mergeCells count="11">
    <mergeCell ref="A42:C42"/>
    <mergeCell ref="A43:C43"/>
    <mergeCell ref="A21:B21"/>
    <mergeCell ref="A5:C5"/>
    <mergeCell ref="A6:C6"/>
    <mergeCell ref="A7:C7"/>
    <mergeCell ref="A8:C8"/>
    <mergeCell ref="A10:B10"/>
    <mergeCell ref="C10:E10"/>
    <mergeCell ref="A11:B11"/>
    <mergeCell ref="C11:E11"/>
  </mergeCells>
  <dataValidations count="2">
    <dataValidation type="list" allowBlank="1" showInputMessage="1" showErrorMessage="1" sqref="C25 C27:C28">
      <formula1>"Sim,Não"</formula1>
    </dataValidation>
    <dataValidation type="list" allowBlank="1" showInputMessage="1" showErrorMessage="1" sqref="C29">
      <formula1>"Normal,12X36"</formula1>
    </dataValidation>
  </dataValidations>
  <printOptions horizontalCentered="1"/>
  <pageMargins left="1.1811023622047245" right="0.39370078740157483" top="0.39370078740157483" bottom="0.39370078740157483" header="0.11811023622047245" footer="0.11811023622047245"/>
  <pageSetup paperSize="9" fitToHeight="50" orientation="portrait" r:id="rId1"/>
  <headerFooter alignWithMargins="0">
    <oddFooter>&amp;LPág.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showGridLines="0" topLeftCell="A25" zoomScale="130" zoomScaleNormal="130" zoomScaleSheetLayoutView="235" workbookViewId="0">
      <selection activeCell="B29" sqref="B29:C29"/>
    </sheetView>
  </sheetViews>
  <sheetFormatPr defaultColWidth="9.140625" defaultRowHeight="11.25" x14ac:dyDescent="0.15"/>
  <cols>
    <col min="1" max="1" width="5.85546875" style="1" customWidth="1"/>
    <col min="2" max="2" width="12.85546875" style="59" customWidth="1"/>
    <col min="3" max="4" width="8.85546875" style="51" customWidth="1"/>
    <col min="5" max="5" width="13" style="51" customWidth="1"/>
    <col min="6" max="6" width="12.140625" style="51" customWidth="1"/>
    <col min="7" max="7" width="18.28515625" style="2" customWidth="1"/>
    <col min="8" max="8" width="3.28515625" style="1" hidden="1" customWidth="1"/>
    <col min="9" max="9" width="8" style="1" hidden="1" customWidth="1"/>
    <col min="10" max="10" width="9.7109375" style="1" customWidth="1"/>
    <col min="11" max="12" width="9.140625" style="1" customWidth="1"/>
    <col min="13" max="13" width="10.28515625" style="1" customWidth="1"/>
    <col min="14" max="14" width="9.140625" style="1" customWidth="1"/>
    <col min="15" max="16384" width="9.140625" style="1"/>
  </cols>
  <sheetData>
    <row r="1" spans="1:8" ht="12.75" x14ac:dyDescent="0.2">
      <c r="H1"/>
    </row>
    <row r="2" spans="1:8" ht="18" x14ac:dyDescent="0.25">
      <c r="A2" s="570"/>
      <c r="B2" s="570"/>
      <c r="C2" s="570"/>
      <c r="D2" s="570"/>
      <c r="E2" s="570"/>
      <c r="F2" s="570"/>
      <c r="G2" s="570"/>
    </row>
    <row r="3" spans="1:8" ht="14.25" x14ac:dyDescent="0.2">
      <c r="A3" s="571"/>
      <c r="B3" s="571"/>
      <c r="C3" s="571"/>
      <c r="D3" s="571"/>
      <c r="E3" s="571"/>
      <c r="F3" s="571"/>
      <c r="G3" s="571"/>
    </row>
    <row r="4" spans="1:8" x14ac:dyDescent="0.15">
      <c r="B4" s="56"/>
      <c r="C4" s="5"/>
      <c r="D4" s="5"/>
      <c r="E4" s="5"/>
      <c r="F4" s="5"/>
      <c r="G4" s="3"/>
    </row>
    <row r="5" spans="1:8" s="4" customFormat="1" ht="15.75" x14ac:dyDescent="0.15">
      <c r="A5" s="572" t="s">
        <v>1</v>
      </c>
      <c r="B5" s="572"/>
      <c r="C5" s="572"/>
      <c r="D5" s="572"/>
      <c r="E5" s="572"/>
      <c r="F5" s="572"/>
      <c r="G5" s="572"/>
      <c r="H5" s="65"/>
    </row>
    <row r="6" spans="1:8" s="4" customFormat="1" ht="12.75" x14ac:dyDescent="0.15">
      <c r="A6" s="572" t="s">
        <v>267</v>
      </c>
      <c r="B6" s="572"/>
      <c r="C6" s="572"/>
      <c r="D6" s="572"/>
      <c r="E6" s="572"/>
      <c r="F6" s="572"/>
      <c r="G6" s="572"/>
    </row>
    <row r="7" spans="1:8" s="4" customFormat="1" ht="12.75" x14ac:dyDescent="0.15">
      <c r="A7" s="278"/>
      <c r="B7" s="278"/>
      <c r="C7" s="278"/>
      <c r="D7" s="278"/>
      <c r="E7" s="278"/>
      <c r="F7" s="278"/>
      <c r="G7" s="278"/>
    </row>
    <row r="8" spans="1:8" s="89" customFormat="1" ht="18" customHeight="1" x14ac:dyDescent="0.2">
      <c r="A8" s="228"/>
      <c r="B8" s="229"/>
      <c r="C8" s="228"/>
      <c r="D8" s="229"/>
      <c r="E8" s="124"/>
      <c r="F8" s="124"/>
      <c r="G8" s="88"/>
    </row>
    <row r="9" spans="1:8" s="89" customFormat="1" ht="18" customHeight="1" x14ac:dyDescent="0.2">
      <c r="A9" s="277" t="s">
        <v>266</v>
      </c>
      <c r="B9" s="229"/>
      <c r="C9" s="228"/>
      <c r="D9" s="229"/>
      <c r="E9" s="124"/>
      <c r="F9" s="124"/>
      <c r="G9" s="88"/>
    </row>
    <row r="10" spans="1:8" s="89" customFormat="1" ht="18" customHeight="1" x14ac:dyDescent="0.2">
      <c r="A10" s="366" t="s">
        <v>13</v>
      </c>
      <c r="B10" s="569" t="s">
        <v>200</v>
      </c>
      <c r="C10" s="569"/>
      <c r="D10" s="569"/>
      <c r="E10" s="569"/>
      <c r="F10" s="250" t="str">
        <f>PARAMETROS!C25</f>
        <v>Não</v>
      </c>
      <c r="G10" s="88"/>
    </row>
    <row r="11" spans="1:8" s="89" customFormat="1" ht="18" customHeight="1" x14ac:dyDescent="0.2">
      <c r="A11" s="366" t="s">
        <v>15</v>
      </c>
      <c r="B11" s="569" t="s">
        <v>227</v>
      </c>
      <c r="C11" s="569"/>
      <c r="D11" s="569"/>
      <c r="E11" s="569"/>
      <c r="F11" s="250" t="str">
        <f>PARAMETROS!C29</f>
        <v>Normal</v>
      </c>
      <c r="G11" s="88"/>
    </row>
    <row r="12" spans="1:8" s="89" customFormat="1" ht="18" customHeight="1" x14ac:dyDescent="0.2">
      <c r="A12" s="230"/>
      <c r="B12" s="232"/>
      <c r="C12" s="232"/>
      <c r="D12" s="232"/>
      <c r="E12" s="232"/>
      <c r="F12" s="124"/>
      <c r="G12" s="88"/>
    </row>
    <row r="13" spans="1:8" s="89" customFormat="1" ht="18" customHeight="1" x14ac:dyDescent="0.2">
      <c r="A13" s="277" t="s">
        <v>64</v>
      </c>
      <c r="B13" s="229"/>
      <c r="C13" s="228"/>
      <c r="D13" s="229"/>
      <c r="E13" s="124"/>
      <c r="F13" s="124"/>
      <c r="G13" s="88"/>
    </row>
    <row r="14" spans="1:8" s="89" customFormat="1" ht="32.450000000000003" customHeight="1" x14ac:dyDescent="0.2">
      <c r="A14" s="630" t="s">
        <v>65</v>
      </c>
      <c r="B14" s="630"/>
      <c r="C14" s="362" t="s">
        <v>66</v>
      </c>
      <c r="D14" s="438" t="s">
        <v>228</v>
      </c>
      <c r="E14" s="630" t="s">
        <v>67</v>
      </c>
      <c r="F14" s="630"/>
      <c r="G14" s="88"/>
    </row>
    <row r="15" spans="1:8" s="89" customFormat="1" ht="18" customHeight="1" x14ac:dyDescent="0.2">
      <c r="A15" s="628" t="str">
        <f>A6</f>
        <v>Analista de Suporte Técnico</v>
      </c>
      <c r="B15" s="628"/>
      <c r="C15" s="439" t="s">
        <v>294</v>
      </c>
      <c r="D15" s="439">
        <v>1</v>
      </c>
      <c r="E15" s="629">
        <v>1</v>
      </c>
      <c r="F15" s="629"/>
      <c r="G15" s="88"/>
    </row>
    <row r="16" spans="1:8" s="89" customFormat="1" ht="18" customHeight="1" x14ac:dyDescent="0.2">
      <c r="A16" s="628"/>
      <c r="B16" s="628"/>
      <c r="C16" s="363"/>
      <c r="D16" s="363"/>
      <c r="E16" s="629"/>
      <c r="F16" s="629"/>
      <c r="G16" s="88"/>
    </row>
    <row r="17" spans="1:9" s="89" customFormat="1" ht="18" customHeight="1" x14ac:dyDescent="0.2">
      <c r="A17" s="628"/>
      <c r="B17" s="628"/>
      <c r="C17" s="363"/>
      <c r="D17" s="363"/>
      <c r="E17" s="629"/>
      <c r="F17" s="629"/>
      <c r="G17" s="88"/>
    </row>
    <row r="18" spans="1:9" s="89" customFormat="1" ht="18" customHeight="1" x14ac:dyDescent="0.2">
      <c r="A18" s="123"/>
      <c r="B18" s="86"/>
      <c r="C18" s="86"/>
      <c r="D18" s="124"/>
      <c r="E18" s="124"/>
      <c r="F18" s="124"/>
      <c r="G18" s="88"/>
    </row>
    <row r="19" spans="1:9" s="89" customFormat="1" ht="18" customHeight="1" x14ac:dyDescent="0.2">
      <c r="A19" s="276" t="s">
        <v>193</v>
      </c>
      <c r="B19" s="86"/>
      <c r="C19" s="86"/>
      <c r="D19" s="124"/>
      <c r="E19" s="124"/>
      <c r="F19" s="124"/>
      <c r="G19" s="88"/>
    </row>
    <row r="20" spans="1:9" s="89" customFormat="1" ht="18" customHeight="1" x14ac:dyDescent="0.2">
      <c r="A20" s="123" t="s">
        <v>194</v>
      </c>
      <c r="B20" s="86"/>
      <c r="C20" s="86"/>
      <c r="D20" s="124"/>
      <c r="E20" s="124"/>
      <c r="F20" s="124"/>
      <c r="G20" s="88"/>
    </row>
    <row r="21" spans="1:9" s="89" customFormat="1" ht="18" customHeight="1" x14ac:dyDescent="0.2">
      <c r="A21" s="90" t="s">
        <v>195</v>
      </c>
      <c r="B21" s="86"/>
      <c r="C21" s="86"/>
      <c r="D21" s="87"/>
      <c r="E21" s="87"/>
      <c r="F21" s="87"/>
      <c r="G21" s="88"/>
    </row>
    <row r="22" spans="1:9" s="7" customFormat="1" ht="24" customHeight="1" x14ac:dyDescent="0.2">
      <c r="A22" s="508" t="s">
        <v>216</v>
      </c>
      <c r="B22" s="509"/>
      <c r="C22" s="509"/>
      <c r="D22" s="509"/>
      <c r="E22" s="509"/>
      <c r="F22" s="510"/>
      <c r="G22" s="67" t="str">
        <f>A6</f>
        <v>Analista de Suporte Técnico</v>
      </c>
    </row>
    <row r="23" spans="1:9" s="7" customFormat="1" ht="18" customHeight="1" x14ac:dyDescent="0.2">
      <c r="A23" s="178">
        <v>1</v>
      </c>
      <c r="B23" s="546" t="s">
        <v>71</v>
      </c>
      <c r="C23" s="546"/>
      <c r="D23" s="546"/>
      <c r="E23" s="546"/>
      <c r="F23" s="546"/>
      <c r="G23" s="189" t="str">
        <f>A15</f>
        <v>Analista de Suporte Técnico</v>
      </c>
    </row>
    <row r="24" spans="1:9" s="7" customFormat="1" ht="25.5" customHeight="1" x14ac:dyDescent="0.2">
      <c r="A24" s="178">
        <v>2</v>
      </c>
      <c r="B24" s="563" t="s">
        <v>201</v>
      </c>
      <c r="C24" s="564"/>
      <c r="D24" s="564"/>
      <c r="E24" s="564"/>
      <c r="F24" s="565"/>
      <c r="G24" s="119"/>
    </row>
    <row r="25" spans="1:9" s="7" customFormat="1" ht="18" customHeight="1" x14ac:dyDescent="0.2">
      <c r="A25" s="178">
        <f t="shared" ref="A25:A28" si="0">A24+1</f>
        <v>3</v>
      </c>
      <c r="B25" s="546" t="s">
        <v>74</v>
      </c>
      <c r="C25" s="546"/>
      <c r="D25" s="546"/>
      <c r="E25" s="546"/>
      <c r="F25" s="546"/>
      <c r="G25" s="189" t="str">
        <f>A15</f>
        <v>Analista de Suporte Técnico</v>
      </c>
    </row>
    <row r="26" spans="1:9" s="7" customFormat="1" ht="18" customHeight="1" x14ac:dyDescent="0.2">
      <c r="A26" s="178">
        <f t="shared" si="0"/>
        <v>4</v>
      </c>
      <c r="B26" s="546" t="s">
        <v>75</v>
      </c>
      <c r="C26" s="546"/>
      <c r="D26" s="546"/>
      <c r="E26" s="546"/>
      <c r="F26" s="546"/>
      <c r="G26" s="188">
        <v>44197</v>
      </c>
    </row>
    <row r="27" spans="1:9" s="7" customFormat="1" ht="18" customHeight="1" x14ac:dyDescent="0.2">
      <c r="A27" s="218">
        <f t="shared" si="0"/>
        <v>5</v>
      </c>
      <c r="B27" s="547" t="s">
        <v>76</v>
      </c>
      <c r="C27" s="547"/>
      <c r="D27" s="547"/>
      <c r="E27" s="547"/>
      <c r="F27" s="548"/>
      <c r="G27" s="233">
        <f>PARAMETROS!C23</f>
        <v>1212</v>
      </c>
    </row>
    <row r="28" spans="1:9" s="213" customFormat="1" ht="10.5" x14ac:dyDescent="0.2">
      <c r="A28" s="549">
        <f t="shared" si="0"/>
        <v>6</v>
      </c>
      <c r="B28" s="551" t="s">
        <v>77</v>
      </c>
      <c r="C28" s="552"/>
      <c r="D28" s="551" t="s">
        <v>223</v>
      </c>
      <c r="E28" s="552"/>
      <c r="F28" s="225" t="s">
        <v>215</v>
      </c>
      <c r="G28" s="212" t="s">
        <v>80</v>
      </c>
      <c r="I28" s="213" t="s">
        <v>81</v>
      </c>
    </row>
    <row r="29" spans="1:9" s="213" customFormat="1" ht="18.75" customHeight="1" x14ac:dyDescent="0.2">
      <c r="A29" s="550"/>
      <c r="B29" s="631">
        <f>PARAMETROS!C24</f>
        <v>0</v>
      </c>
      <c r="C29" s="632"/>
      <c r="D29" s="555">
        <f>IF(F11="12x36",0.03,0.06)</f>
        <v>0.06</v>
      </c>
      <c r="E29" s="556"/>
      <c r="F29" s="303">
        <f>PARAMETROS!C81</f>
        <v>20.92</v>
      </c>
      <c r="G29" s="443">
        <v>2</v>
      </c>
      <c r="H29" s="215" t="s">
        <v>82</v>
      </c>
      <c r="I29" s="213" t="s">
        <v>83</v>
      </c>
    </row>
    <row r="30" spans="1:9" s="7" customFormat="1" ht="18" customHeight="1" x14ac:dyDescent="0.2">
      <c r="A30" s="218">
        <f>A28+1</f>
        <v>7</v>
      </c>
      <c r="B30" s="557" t="s">
        <v>84</v>
      </c>
      <c r="C30" s="558"/>
      <c r="D30" s="219">
        <v>30</v>
      </c>
      <c r="E30" s="559" t="s">
        <v>85</v>
      </c>
      <c r="F30" s="560"/>
      <c r="G30" s="234">
        <f>ROUND(D30/6*30,0)</f>
        <v>150</v>
      </c>
    </row>
    <row r="31" spans="1:9" s="7" customFormat="1" ht="10.5" x14ac:dyDescent="0.2">
      <c r="A31" s="318"/>
      <c r="B31" s="321" t="s">
        <v>86</v>
      </c>
      <c r="C31" s="322"/>
      <c r="D31" s="323"/>
      <c r="E31" s="323"/>
      <c r="F31" s="324"/>
      <c r="G31" s="325"/>
      <c r="H31" s="209"/>
    </row>
    <row r="32" spans="1:9" s="7" customFormat="1" ht="10.5" x14ac:dyDescent="0.2">
      <c r="A32" s="326"/>
      <c r="B32" s="220" t="s">
        <v>87</v>
      </c>
      <c r="C32" s="208"/>
      <c r="D32" s="210"/>
      <c r="E32" s="210"/>
      <c r="F32" s="293"/>
      <c r="G32" s="327"/>
      <c r="H32" s="209"/>
    </row>
    <row r="33" spans="1:14" s="7" customFormat="1" ht="9" customHeight="1" x14ac:dyDescent="0.2">
      <c r="A33" s="122"/>
      <c r="B33" s="296"/>
      <c r="C33" s="291"/>
      <c r="D33" s="291"/>
      <c r="E33" s="291"/>
      <c r="F33" s="291"/>
      <c r="G33" s="117"/>
    </row>
    <row r="34" spans="1:14" s="89" customFormat="1" ht="30" customHeight="1" thickBot="1" x14ac:dyDescent="0.25">
      <c r="A34" s="614" t="s">
        <v>196</v>
      </c>
      <c r="B34" s="614"/>
      <c r="C34" s="614"/>
      <c r="D34" s="614"/>
      <c r="E34" s="615"/>
      <c r="F34" s="614"/>
      <c r="G34" s="614"/>
    </row>
    <row r="35" spans="1:14" s="7" customFormat="1" ht="18" customHeight="1" thickTop="1" thickBot="1" x14ac:dyDescent="0.25">
      <c r="A35" s="6" t="s">
        <v>10</v>
      </c>
      <c r="B35" s="62" t="s">
        <v>90</v>
      </c>
      <c r="C35" s="285"/>
      <c r="D35" s="285"/>
      <c r="E35" s="421" t="str">
        <f>"Regime: "&amp;F11</f>
        <v>Regime: Normal</v>
      </c>
      <c r="F35" s="19" t="s">
        <v>12</v>
      </c>
      <c r="G35" s="60" t="s">
        <v>47</v>
      </c>
    </row>
    <row r="36" spans="1:14" s="7" customFormat="1" ht="18" customHeight="1" thickTop="1" x14ac:dyDescent="0.2">
      <c r="A36" s="401" t="s">
        <v>13</v>
      </c>
      <c r="B36" s="616" t="s">
        <v>91</v>
      </c>
      <c r="C36" s="617"/>
      <c r="D36" s="617"/>
      <c r="E36" s="618"/>
      <c r="F36" s="402" t="s">
        <v>0</v>
      </c>
      <c r="G36" s="403">
        <f>G24</f>
        <v>0</v>
      </c>
    </row>
    <row r="37" spans="1:14" s="7" customFormat="1" ht="18" customHeight="1" x14ac:dyDescent="0.2">
      <c r="A37" s="350" t="s">
        <v>15</v>
      </c>
      <c r="B37" s="404" t="s">
        <v>92</v>
      </c>
      <c r="C37" s="405"/>
      <c r="D37" s="406" t="s">
        <v>238</v>
      </c>
      <c r="E37" s="406"/>
      <c r="F37" s="359" t="s">
        <v>8</v>
      </c>
      <c r="G37" s="353">
        <f>IF(F37="Sim",ROUND($G$36*MID(D37,17,2)/100,2),0)</f>
        <v>0</v>
      </c>
    </row>
    <row r="38" spans="1:14" s="7" customFormat="1" ht="18" customHeight="1" x14ac:dyDescent="0.2">
      <c r="A38" s="350" t="s">
        <v>17</v>
      </c>
      <c r="B38" s="404" t="s">
        <v>236</v>
      </c>
      <c r="C38" s="407"/>
      <c r="D38" s="406" t="s">
        <v>237</v>
      </c>
      <c r="E38" s="407"/>
      <c r="F38" s="408"/>
      <c r="G38" s="353">
        <f>ROUND($G$27*$F38,2)</f>
        <v>0</v>
      </c>
      <c r="N38" s="393"/>
    </row>
    <row r="39" spans="1:14" s="7" customFormat="1" ht="18" customHeight="1" x14ac:dyDescent="0.2">
      <c r="A39" s="350" t="s">
        <v>19</v>
      </c>
      <c r="B39" s="415" t="s">
        <v>257</v>
      </c>
      <c r="C39" s="418" t="s">
        <v>8</v>
      </c>
      <c r="D39" s="416" t="str">
        <f>IF(F39&gt;0,"("&amp;INT(F39)&amp;"h "&amp;ROUND((F39-INT(F39))*60,0)&amp;"min)=","")</f>
        <v/>
      </c>
      <c r="E39" s="420" t="str">
        <f>IF(F39&gt;0,"Quant. Horas 
normais (decimais) =","")</f>
        <v/>
      </c>
      <c r="F39" s="410"/>
      <c r="G39" s="411">
        <f>IF(AND(F11="12X36",C39="Sim"),ROUND(SUM(G36:G38)*(7/12)*0.2,2),ROUND((SUM(G36:G38)/G30)*0.2*F39,2))</f>
        <v>0</v>
      </c>
      <c r="M39" s="419"/>
      <c r="N39" s="393"/>
    </row>
    <row r="40" spans="1:14" s="7" customFormat="1" ht="18" customHeight="1" x14ac:dyDescent="0.2">
      <c r="A40" s="350" t="s">
        <v>21</v>
      </c>
      <c r="B40" s="414" t="s">
        <v>254</v>
      </c>
      <c r="C40" s="409"/>
      <c r="D40" s="412" t="str">
        <f>IF(F40&gt;0,"("&amp;INT(F40)&amp;"h "&amp;ROUND((F40-INT(F40))*60,0)&amp;"min)=","")</f>
        <v/>
      </c>
      <c r="E40" s="420" t="str">
        <f>IF(F40&gt;0,"Quant. Horas 
reduzidas (decimais)=","")</f>
        <v/>
      </c>
      <c r="F40" s="417">
        <f>IF(F39&gt;0,ROUND(((F39)*(8/7))-(F39),2),0)</f>
        <v>0</v>
      </c>
      <c r="G40" s="411">
        <f>ROUND((SUM(G36:G38)/G30)*0.2*F40,2)</f>
        <v>0</v>
      </c>
      <c r="M40" s="68"/>
      <c r="N40" s="394"/>
    </row>
    <row r="41" spans="1:14" s="7" customFormat="1" ht="18" customHeight="1" x14ac:dyDescent="0.2">
      <c r="A41" s="350" t="s">
        <v>23</v>
      </c>
      <c r="B41" s="619" t="s">
        <v>197</v>
      </c>
      <c r="C41" s="620"/>
      <c r="D41" s="620"/>
      <c r="E41" s="413"/>
      <c r="F41" s="351">
        <f>IF(ISNUMBER(E41),50%,0)</f>
        <v>0</v>
      </c>
      <c r="G41" s="352">
        <f>ROUND(SUM(G36:G40)/G30*1.5*E41,2)</f>
        <v>0</v>
      </c>
      <c r="M41" s="68"/>
      <c r="N41" s="394"/>
    </row>
    <row r="42" spans="1:14" s="7" customFormat="1" ht="18" customHeight="1" x14ac:dyDescent="0.2">
      <c r="A42" s="350"/>
      <c r="B42" s="625" t="s">
        <v>173</v>
      </c>
      <c r="C42" s="626"/>
      <c r="D42" s="626"/>
      <c r="E42" s="626"/>
      <c r="F42" s="351"/>
      <c r="G42" s="352">
        <f>SUM(G36:G41)</f>
        <v>0</v>
      </c>
    </row>
    <row r="43" spans="1:14" s="7" customFormat="1" ht="21.6" customHeight="1" x14ac:dyDescent="0.2">
      <c r="A43" s="360" t="s">
        <v>25</v>
      </c>
      <c r="B43" s="619" t="s">
        <v>229</v>
      </c>
      <c r="C43" s="620"/>
      <c r="D43" s="620"/>
      <c r="E43" s="620"/>
      <c r="F43" s="359" t="s">
        <v>8</v>
      </c>
      <c r="G43" s="353">
        <f>IF(F43="Sim",ROUND(SUM(G36:G38)/G30*1.5*F29,2),0)</f>
        <v>0</v>
      </c>
    </row>
    <row r="44" spans="1:14" s="7" customFormat="1" ht="21.6" customHeight="1" x14ac:dyDescent="0.2">
      <c r="A44" s="354" t="s">
        <v>27</v>
      </c>
      <c r="B44" s="355" t="s">
        <v>51</v>
      </c>
      <c r="C44" s="356"/>
      <c r="D44" s="356"/>
      <c r="E44" s="356"/>
      <c r="F44" s="357"/>
      <c r="G44" s="358"/>
    </row>
    <row r="45" spans="1:14" s="7" customFormat="1" ht="18" customHeight="1" x14ac:dyDescent="0.2">
      <c r="A45" s="13"/>
      <c r="B45" s="23" t="s">
        <v>29</v>
      </c>
      <c r="C45" s="52"/>
      <c r="D45" s="52"/>
      <c r="E45" s="52"/>
      <c r="F45" s="24"/>
      <c r="G45" s="160">
        <f>SUM(G42:G44)</f>
        <v>0</v>
      </c>
    </row>
    <row r="46" spans="1:14" x14ac:dyDescent="0.15">
      <c r="A46" s="531" t="s">
        <v>30</v>
      </c>
      <c r="B46" s="513"/>
      <c r="C46" s="513"/>
      <c r="D46" s="513"/>
      <c r="E46" s="513"/>
      <c r="F46" s="513"/>
      <c r="G46" s="532"/>
    </row>
    <row r="47" spans="1:14" s="116" customFormat="1" ht="9" x14ac:dyDescent="0.15">
      <c r="A47" s="348"/>
      <c r="B47" s="361"/>
      <c r="C47" s="348"/>
      <c r="D47" s="348"/>
      <c r="E47" s="348"/>
      <c r="F47" s="348"/>
      <c r="G47" s="348"/>
    </row>
    <row r="48" spans="1:14" s="18" customFormat="1" ht="18" customHeight="1" x14ac:dyDescent="0.15">
      <c r="A48" s="15"/>
      <c r="B48" s="57"/>
      <c r="C48" s="16"/>
      <c r="D48" s="16"/>
      <c r="E48" s="16"/>
      <c r="F48" s="16"/>
      <c r="G48" s="17"/>
    </row>
    <row r="49" spans="1:16" s="89" customFormat="1" ht="25.5" customHeight="1" x14ac:dyDescent="0.2">
      <c r="A49" s="614" t="s">
        <v>207</v>
      </c>
      <c r="B49" s="614"/>
      <c r="C49" s="614"/>
      <c r="D49" s="614"/>
      <c r="E49" s="614"/>
      <c r="F49" s="614"/>
      <c r="G49" s="614"/>
    </row>
    <row r="50" spans="1:16" s="18" customFormat="1" ht="25.5" customHeight="1" x14ac:dyDescent="0.15">
      <c r="A50" s="29" t="s">
        <v>98</v>
      </c>
      <c r="B50" s="517" t="s">
        <v>99</v>
      </c>
      <c r="C50" s="517"/>
      <c r="D50" s="623" t="str">
        <f>"Conta Vinculada? "&amp;PARAMETROS!$C$27</f>
        <v>Conta Vinculada? Sim</v>
      </c>
      <c r="E50" s="624"/>
      <c r="F50" s="19" t="s">
        <v>12</v>
      </c>
      <c r="G50" s="60" t="s">
        <v>47</v>
      </c>
    </row>
    <row r="51" spans="1:16" s="18" customFormat="1" ht="18" customHeight="1" x14ac:dyDescent="0.15">
      <c r="A51" s="8" t="s">
        <v>13</v>
      </c>
      <c r="B51" s="281" t="s">
        <v>222</v>
      </c>
      <c r="C51" s="339" t="s">
        <v>255</v>
      </c>
      <c r="D51" s="282"/>
      <c r="E51" s="282"/>
      <c r="F51" s="53">
        <f>1/12</f>
        <v>8.3333333333333329E-2</v>
      </c>
      <c r="G51" s="32">
        <f>ROUND($G$42*F51,2)</f>
        <v>0</v>
      </c>
      <c r="K51" s="64"/>
      <c r="N51" s="64"/>
      <c r="O51" s="64"/>
      <c r="P51" s="64"/>
    </row>
    <row r="52" spans="1:16" s="18" customFormat="1" ht="18" customHeight="1" x14ac:dyDescent="0.15">
      <c r="A52" s="299" t="s">
        <v>15</v>
      </c>
      <c r="B52" s="621" t="s">
        <v>206</v>
      </c>
      <c r="C52" s="622"/>
      <c r="D52" s="347" t="s">
        <v>199</v>
      </c>
      <c r="E52" s="346" t="str">
        <f>$F$10</f>
        <v>Não</v>
      </c>
      <c r="F52" s="367" t="str">
        <f>"Σ="&amp;FIXED(SUM(F53:F54)*100,2)&amp;"%"</f>
        <v>Σ=12,10%</v>
      </c>
      <c r="G52" s="368" t="str">
        <f>"Σ="&amp;FIXED(SUM(G53:G54),2)</f>
        <v>Σ=0,00</v>
      </c>
      <c r="O52" s="255"/>
    </row>
    <row r="53" spans="1:16" s="18" customFormat="1" ht="11.45" customHeight="1" x14ac:dyDescent="0.15">
      <c r="A53" s="10" t="s">
        <v>191</v>
      </c>
      <c r="B53" s="292" t="s">
        <v>204</v>
      </c>
      <c r="C53" s="302" t="str">
        <f>IF(RIGHT(D50,3)="Sim","(1÷11) =","(1÷12) =")</f>
        <v>(1÷11) =</v>
      </c>
      <c r="D53" s="297">
        <f>IF(E52="Sim","Prorrogado. Férias submódulo 4.1.A",IF(RIGHT(D50,3)="Sim",1/11,1/12))</f>
        <v>9.0909090909090912E-2</v>
      </c>
      <c r="E53" s="298"/>
      <c r="F53" s="312">
        <f>IF(E52="Sim",0,IF(RIGHT(D50,3)="Sim",0.09075,D53))</f>
        <v>9.0749999999999997E-2</v>
      </c>
      <c r="G53" s="33">
        <f>ROUND($G$42*F53,2)</f>
        <v>0</v>
      </c>
      <c r="N53" s="349"/>
      <c r="O53" s="255"/>
    </row>
    <row r="54" spans="1:16" s="18" customFormat="1" ht="11.45" customHeight="1" x14ac:dyDescent="0.15">
      <c r="A54" s="177" t="s">
        <v>192</v>
      </c>
      <c r="B54" s="300" t="s">
        <v>205</v>
      </c>
      <c r="C54" s="45"/>
      <c r="D54" s="302" t="str">
        <f>IF(RIGHT(D50,3)="Sim","(1÷3÷11) =","(1÷3÷12) =")</f>
        <v>(1÷3÷11) =</v>
      </c>
      <c r="E54" s="301">
        <f>IF(RIGHT(D50,3)="Sim",1/3/11,1/3/12)</f>
        <v>3.03030303030303E-2</v>
      </c>
      <c r="F54" s="313">
        <f>IF(RIGHT(D50,3)="Sim",0.03025,E54)</f>
        <v>3.0249999999999999E-2</v>
      </c>
      <c r="G54" s="33">
        <f>ROUND($G$42*F54,2)</f>
        <v>0</v>
      </c>
      <c r="K54" s="64"/>
      <c r="O54" s="255"/>
    </row>
    <row r="55" spans="1:16" s="237" customFormat="1" ht="18" customHeight="1" x14ac:dyDescent="0.15">
      <c r="A55" s="238"/>
      <c r="B55" s="239" t="s">
        <v>101</v>
      </c>
      <c r="C55" s="239"/>
      <c r="D55" s="239"/>
      <c r="E55" s="239"/>
      <c r="F55" s="240">
        <f>SUM(F51:F54)</f>
        <v>0.20433333333333331</v>
      </c>
      <c r="G55" s="241">
        <f>SUM(G51:G54)</f>
        <v>0</v>
      </c>
    </row>
    <row r="56" spans="1:16" s="18" customFormat="1" ht="16.149999999999999" customHeight="1" x14ac:dyDescent="0.15">
      <c r="A56" s="280"/>
      <c r="B56" s="280"/>
      <c r="C56" s="280"/>
      <c r="D56" s="280"/>
      <c r="E56" s="280"/>
      <c r="F56" s="280"/>
      <c r="G56" s="280"/>
    </row>
    <row r="57" spans="1:16" s="18" customFormat="1" ht="40.5" customHeight="1" x14ac:dyDescent="0.15">
      <c r="A57" s="28" t="s">
        <v>102</v>
      </c>
      <c r="B57" s="536" t="s">
        <v>256</v>
      </c>
      <c r="C57" s="536"/>
      <c r="D57" s="536"/>
      <c r="E57" s="536"/>
      <c r="F57" s="303" t="str">
        <f>"Optante do Simples? "&amp;PARAMETROS!C28</f>
        <v>Optante do Simples? Não</v>
      </c>
      <c r="G57" s="60" t="s">
        <v>47</v>
      </c>
      <c r="N57" s="349"/>
    </row>
    <row r="58" spans="1:16" s="18" customFormat="1" ht="18" customHeight="1" x14ac:dyDescent="0.15">
      <c r="A58" s="8" t="s">
        <v>13</v>
      </c>
      <c r="B58" s="281" t="s">
        <v>14</v>
      </c>
      <c r="C58" s="627" t="s">
        <v>200</v>
      </c>
      <c r="D58" s="627"/>
      <c r="E58" s="422" t="str">
        <f>$F$10</f>
        <v>Não</v>
      </c>
      <c r="F58" s="335">
        <f>PARAMETROS!C33</f>
        <v>0.2</v>
      </c>
      <c r="G58" s="33">
        <f>IF($E$58="Não",ROUND(($G$42+$G$51)*SUM(F58),2),ROUND(($G$42+$G$51+$G$54)*SUM(F58),2))</f>
        <v>0</v>
      </c>
      <c r="M58" s="64"/>
      <c r="O58" s="64"/>
    </row>
    <row r="59" spans="1:16" s="18" customFormat="1" ht="18" customHeight="1" x14ac:dyDescent="0.15">
      <c r="A59" s="10" t="s">
        <v>15</v>
      </c>
      <c r="B59" s="283" t="s">
        <v>16</v>
      </c>
      <c r="C59" s="284"/>
      <c r="D59" s="320" t="s">
        <v>208</v>
      </c>
      <c r="E59" s="340" t="s">
        <v>221</v>
      </c>
      <c r="F59" s="336">
        <f>IF(RIGHT($F$57,3)="Sim","",PARAMETROS!C34)</f>
        <v>2.5000000000000001E-2</v>
      </c>
      <c r="G59" s="33">
        <f>IF($E$58="Não",ROUND(($G$42+$G$51)*SUM(F59),2),ROUND(($G$42+$G$51+$G$54)*SUM(F59),2))</f>
        <v>0</v>
      </c>
    </row>
    <row r="60" spans="1:16" s="18" customFormat="1" ht="18" customHeight="1" x14ac:dyDescent="0.15">
      <c r="A60" s="10" t="s">
        <v>17</v>
      </c>
      <c r="B60" s="283" t="s">
        <v>220</v>
      </c>
      <c r="C60" s="284"/>
      <c r="D60" s="341">
        <v>0.03</v>
      </c>
      <c r="E60" s="342">
        <v>0.01</v>
      </c>
      <c r="F60" s="336">
        <f>D60*E60*100</f>
        <v>0.03</v>
      </c>
      <c r="G60" s="33">
        <f>IF($E$58="Não",ROUND(($G$42+$G$51)*SUM(F60),2),ROUND(($G$42+$G$51+$G$54)*SUM(F60),2))</f>
        <v>0</v>
      </c>
    </row>
    <row r="61" spans="1:16" s="18" customFormat="1" ht="18" customHeight="1" x14ac:dyDescent="0.15">
      <c r="A61" s="10" t="s">
        <v>19</v>
      </c>
      <c r="B61" s="283" t="s">
        <v>20</v>
      </c>
      <c r="C61" s="284"/>
      <c r="D61" s="284"/>
      <c r="E61" s="284"/>
      <c r="F61" s="336">
        <f>IF(RIGHT($F$57,3)="Sim","",PARAMETROS!C36)</f>
        <v>1.4999999999999999E-2</v>
      </c>
      <c r="G61" s="33">
        <f t="shared" ref="G61:G64" si="1">IF($E$58="Não",ROUND(($G$42+$G$51)*SUM(F61),2),ROUND(($G$42+$G$51+$G$54)*SUM(F61),2))</f>
        <v>0</v>
      </c>
    </row>
    <row r="62" spans="1:16" s="18" customFormat="1" ht="18" customHeight="1" x14ac:dyDescent="0.15">
      <c r="A62" s="10" t="s">
        <v>21</v>
      </c>
      <c r="B62" s="283" t="s">
        <v>22</v>
      </c>
      <c r="E62" s="284"/>
      <c r="F62" s="336">
        <f>IF(RIGHT($F$57,3)="Sim","",PARAMETROS!C37)</f>
        <v>0.01</v>
      </c>
      <c r="G62" s="33">
        <f t="shared" si="1"/>
        <v>0</v>
      </c>
    </row>
    <row r="63" spans="1:16" s="18" customFormat="1" ht="18" customHeight="1" x14ac:dyDescent="0.15">
      <c r="A63" s="10" t="s">
        <v>23</v>
      </c>
      <c r="B63" s="283" t="s">
        <v>24</v>
      </c>
      <c r="C63" s="284"/>
      <c r="D63" s="284"/>
      <c r="E63" s="284"/>
      <c r="F63" s="336">
        <f>IF(RIGHT($F$57,3)="Sim","",PARAMETROS!C38)</f>
        <v>6.0000000000000001E-3</v>
      </c>
      <c r="G63" s="33">
        <f t="shared" si="1"/>
        <v>0</v>
      </c>
    </row>
    <row r="64" spans="1:16" s="18" customFormat="1" ht="18" customHeight="1" x14ac:dyDescent="0.15">
      <c r="A64" s="10" t="s">
        <v>25</v>
      </c>
      <c r="B64" s="283" t="s">
        <v>26</v>
      </c>
      <c r="C64" s="284"/>
      <c r="D64" s="284"/>
      <c r="E64" s="284"/>
      <c r="F64" s="336">
        <f>IF(RIGHT($F$57,3)="Sim","",PARAMETROS!C39)</f>
        <v>2E-3</v>
      </c>
      <c r="G64" s="33">
        <f t="shared" si="1"/>
        <v>0</v>
      </c>
    </row>
    <row r="65" spans="1:15" s="18" customFormat="1" ht="18" customHeight="1" x14ac:dyDescent="0.15">
      <c r="A65" s="177" t="s">
        <v>27</v>
      </c>
      <c r="B65" s="273" t="s">
        <v>28</v>
      </c>
      <c r="C65" s="274"/>
      <c r="D65" s="274"/>
      <c r="E65" s="274"/>
      <c r="F65" s="337">
        <f>PARAMETROS!C40</f>
        <v>0.08</v>
      </c>
      <c r="G65" s="33">
        <f>IF($E$58="Não",ROUND(($G$42+$G$51)*SUM(F65),2),ROUND(($G$42+$G$51+$G$54)*SUM(F65),2))</f>
        <v>0</v>
      </c>
    </row>
    <row r="66" spans="1:15" s="18" customFormat="1" ht="18" customHeight="1" x14ac:dyDescent="0.15">
      <c r="A66" s="318"/>
      <c r="B66" s="320" t="s">
        <v>101</v>
      </c>
      <c r="C66" s="319"/>
      <c r="D66" s="319"/>
      <c r="E66" s="319"/>
      <c r="F66" s="338">
        <f>SUM(F58:F65)</f>
        <v>0.36800000000000005</v>
      </c>
      <c r="G66" s="9">
        <f>SUM(G58:G65)</f>
        <v>0</v>
      </c>
    </row>
    <row r="67" spans="1:15" s="18" customFormat="1" ht="15" customHeight="1" x14ac:dyDescent="0.15">
      <c r="E67" s="364"/>
    </row>
    <row r="68" spans="1:15" s="18" customFormat="1" ht="25.5" customHeight="1" x14ac:dyDescent="0.15">
      <c r="A68" s="29" t="s">
        <v>32</v>
      </c>
      <c r="B68" s="509" t="s">
        <v>104</v>
      </c>
      <c r="C68" s="509"/>
      <c r="D68" s="509"/>
      <c r="E68" s="509"/>
      <c r="F68" s="303" t="s">
        <v>232</v>
      </c>
      <c r="G68" s="60" t="s">
        <v>47</v>
      </c>
      <c r="N68" s="364"/>
    </row>
    <row r="69" spans="1:15" s="7" customFormat="1" ht="30" customHeight="1" x14ac:dyDescent="0.2">
      <c r="A69" s="401" t="s">
        <v>13</v>
      </c>
      <c r="B69" s="604" t="s">
        <v>230</v>
      </c>
      <c r="C69" s="605"/>
      <c r="D69" s="605"/>
      <c r="E69" s="605"/>
      <c r="F69" s="454" t="s">
        <v>139</v>
      </c>
      <c r="G69" s="455">
        <f>ROUND(IF((G24*D29)&gt;(B29*F29*G29),B29*F29*G29,(B29*F29*G29)-(G24*D29)),2)</f>
        <v>0</v>
      </c>
      <c r="H69" s="68" t="s">
        <v>106</v>
      </c>
      <c r="I69" s="68"/>
      <c r="N69" s="365"/>
    </row>
    <row r="70" spans="1:15" s="7" customFormat="1" ht="18" customHeight="1" x14ac:dyDescent="0.2">
      <c r="A70" s="350" t="s">
        <v>15</v>
      </c>
      <c r="B70" s="456" t="str">
        <f>PARAMETROS!B47</f>
        <v>Auxílio alimentação (Vales, cesta básica etc.) - 11ª</v>
      </c>
      <c r="C70" s="457"/>
      <c r="D70" s="457"/>
      <c r="E70" s="457"/>
      <c r="F70" s="458" t="s">
        <v>139</v>
      </c>
      <c r="G70" s="459">
        <f>PARAMETROS!C47</f>
        <v>0</v>
      </c>
      <c r="H70" s="68" t="s">
        <v>107</v>
      </c>
      <c r="I70" s="68">
        <f>B29*G29*22</f>
        <v>0</v>
      </c>
      <c r="K70" s="68"/>
      <c r="L70" s="68"/>
      <c r="O70" s="68"/>
    </row>
    <row r="71" spans="1:15" s="7" customFormat="1" ht="18" customHeight="1" x14ac:dyDescent="0.2">
      <c r="A71" s="350" t="s">
        <v>17</v>
      </c>
      <c r="B71" s="606" t="str">
        <f>PARAMETROS!B48</f>
        <v>Auxílio Morte/Funeral (1 sal.x3%÷12x3 = 0,0075) - 13ª</v>
      </c>
      <c r="C71" s="607"/>
      <c r="D71" s="607"/>
      <c r="E71" s="608"/>
      <c r="F71" s="458"/>
      <c r="G71" s="461">
        <f>ROUND(PARAMETROS!C48*G24,2)</f>
        <v>0</v>
      </c>
      <c r="H71" s="68" t="s">
        <v>108</v>
      </c>
      <c r="I71" s="68">
        <f>G24*0.06</f>
        <v>0</v>
      </c>
      <c r="J71" s="68"/>
    </row>
    <row r="72" spans="1:15" s="7" customFormat="1" ht="18" customHeight="1" x14ac:dyDescent="0.2">
      <c r="A72" s="350" t="s">
        <v>19</v>
      </c>
      <c r="B72" s="456" t="str">
        <f>PARAMETROS!B49</f>
        <v>Treinamento (Prog. Qual. Trabalhador) - 21ª</v>
      </c>
      <c r="C72" s="457"/>
      <c r="D72" s="457"/>
      <c r="E72" s="457"/>
      <c r="F72" s="458"/>
      <c r="G72" s="459">
        <f>PARAMETROS!C49</f>
        <v>0</v>
      </c>
    </row>
    <row r="73" spans="1:15" s="7" customFormat="1" ht="18" customHeight="1" x14ac:dyDescent="0.2">
      <c r="A73" s="350" t="s">
        <v>21</v>
      </c>
      <c r="B73" s="456" t="str">
        <f>PARAMETROS!B50</f>
        <v>EPI's (R$ 7,00) - 22ª</v>
      </c>
      <c r="C73" s="457"/>
      <c r="D73" s="457"/>
      <c r="E73" s="457"/>
      <c r="F73" s="458"/>
      <c r="G73" s="459">
        <f>PARAMETROS!C50</f>
        <v>0</v>
      </c>
    </row>
    <row r="74" spans="1:15" s="7" customFormat="1" ht="18" customHeight="1" x14ac:dyDescent="0.2">
      <c r="A74" s="350" t="s">
        <v>23</v>
      </c>
      <c r="B74" s="456" t="str">
        <f>PARAMETROS!B51</f>
        <v>Seguro de vida e acidente trabalho - 24ª</v>
      </c>
      <c r="C74" s="457"/>
      <c r="D74" s="457"/>
      <c r="E74" s="457"/>
      <c r="F74" s="458"/>
      <c r="G74" s="459">
        <f>PARAMETROS!C51</f>
        <v>0</v>
      </c>
    </row>
    <row r="75" spans="1:15" s="7" customFormat="1" ht="18" customHeight="1" x14ac:dyDescent="0.2">
      <c r="A75" s="350" t="s">
        <v>25</v>
      </c>
      <c r="B75" s="456" t="str">
        <f>PARAMETROS!B52</f>
        <v>PCMSO, PPRA e CIPA - 33ª</v>
      </c>
      <c r="C75" s="457"/>
      <c r="D75" s="457"/>
      <c r="E75" s="457"/>
      <c r="F75" s="458"/>
      <c r="G75" s="459">
        <f>PARAMETROS!C52</f>
        <v>0</v>
      </c>
    </row>
    <row r="76" spans="1:15" s="7" customFormat="1" ht="18" customHeight="1" x14ac:dyDescent="0.2">
      <c r="A76" s="350" t="s">
        <v>27</v>
      </c>
      <c r="B76" s="456" t="str">
        <f>PARAMETROS!B53</f>
        <v>Estojo primeiros socorros (R$ 4,00 por empregado) - 36ª</v>
      </c>
      <c r="C76" s="457"/>
      <c r="D76" s="457"/>
      <c r="E76" s="457"/>
      <c r="F76" s="458" t="s">
        <v>139</v>
      </c>
      <c r="G76" s="459">
        <f>PARAMETROS!C53</f>
        <v>0</v>
      </c>
    </row>
    <row r="77" spans="1:15" s="7" customFormat="1" ht="18" customHeight="1" x14ac:dyDescent="0.2">
      <c r="A77" s="354" t="s">
        <v>10</v>
      </c>
      <c r="B77" s="462" t="str">
        <f>PARAMETROS!B54</f>
        <v/>
      </c>
      <c r="C77" s="463"/>
      <c r="D77" s="463"/>
      <c r="E77" s="463"/>
      <c r="F77" s="464"/>
      <c r="G77" s="465">
        <f>PARAMETROS!C54</f>
        <v>0</v>
      </c>
    </row>
    <row r="78" spans="1:15" s="7" customFormat="1" ht="18" customHeight="1" x14ac:dyDescent="0.2">
      <c r="A78" s="150"/>
      <c r="B78" s="151" t="s">
        <v>29</v>
      </c>
      <c r="C78" s="152"/>
      <c r="D78" s="152"/>
      <c r="E78" s="152"/>
      <c r="F78" s="241">
        <f>SUMIF(F69:F77,"Sim",G69:G77)</f>
        <v>0</v>
      </c>
      <c r="G78" s="9">
        <f>SUM(G69:G77)</f>
        <v>0</v>
      </c>
    </row>
    <row r="79" spans="1:15" s="18" customFormat="1" ht="10.5" x14ac:dyDescent="0.15">
      <c r="A79" s="503" t="s">
        <v>43</v>
      </c>
      <c r="B79" s="487"/>
      <c r="C79" s="487"/>
      <c r="D79" s="487"/>
      <c r="E79" s="487"/>
      <c r="F79" s="487"/>
      <c r="G79" s="504"/>
    </row>
    <row r="80" spans="1:15" s="18" customFormat="1" ht="17.45" customHeight="1" x14ac:dyDescent="0.15">
      <c r="A80" s="599" t="s">
        <v>44</v>
      </c>
      <c r="B80" s="488"/>
      <c r="C80" s="488"/>
      <c r="D80" s="488"/>
      <c r="E80" s="488"/>
      <c r="F80" s="488"/>
      <c r="G80" s="600"/>
    </row>
    <row r="81" spans="1:14" s="18" customFormat="1" ht="10.15" customHeight="1" x14ac:dyDescent="0.15">
      <c r="A81" s="609" t="s">
        <v>231</v>
      </c>
      <c r="B81" s="610"/>
      <c r="C81" s="610"/>
      <c r="D81" s="610"/>
      <c r="E81" s="610"/>
      <c r="F81" s="610"/>
      <c r="G81" s="611"/>
    </row>
    <row r="82" spans="1:14" s="18" customFormat="1" ht="24" customHeight="1" x14ac:dyDescent="0.15">
      <c r="A82" s="70"/>
      <c r="B82" s="70"/>
      <c r="C82" s="70"/>
      <c r="D82" s="70"/>
      <c r="E82" s="70"/>
      <c r="F82" s="70"/>
      <c r="G82" s="70"/>
    </row>
    <row r="83" spans="1:14" s="133" customFormat="1" ht="24" customHeight="1" x14ac:dyDescent="0.15">
      <c r="A83" s="195" t="s">
        <v>109</v>
      </c>
      <c r="B83" s="196"/>
      <c r="C83" s="197"/>
      <c r="D83" s="197"/>
      <c r="E83" s="197"/>
      <c r="F83" s="197"/>
      <c r="G83" s="198"/>
    </row>
    <row r="84" spans="1:14" s="134" customFormat="1" ht="24" customHeight="1" x14ac:dyDescent="0.15">
      <c r="A84" s="199">
        <v>2</v>
      </c>
      <c r="B84" s="200" t="s">
        <v>110</v>
      </c>
      <c r="C84" s="201"/>
      <c r="D84" s="201"/>
      <c r="E84" s="201"/>
      <c r="F84" s="201"/>
      <c r="G84" s="202"/>
    </row>
    <row r="85" spans="1:14" s="133" customFormat="1" ht="24" customHeight="1" x14ac:dyDescent="0.15">
      <c r="A85" s="178" t="s">
        <v>98</v>
      </c>
      <c r="B85" s="196" t="s">
        <v>111</v>
      </c>
      <c r="C85" s="197"/>
      <c r="D85" s="197"/>
      <c r="E85" s="197"/>
      <c r="F85" s="434"/>
      <c r="G85" s="203">
        <f>G55</f>
        <v>0</v>
      </c>
    </row>
    <row r="86" spans="1:14" s="133" customFormat="1" ht="24" customHeight="1" x14ac:dyDescent="0.15">
      <c r="A86" s="178" t="s">
        <v>102</v>
      </c>
      <c r="B86" s="196" t="s">
        <v>112</v>
      </c>
      <c r="C86" s="197"/>
      <c r="D86" s="197"/>
      <c r="E86" s="197"/>
      <c r="F86" s="434"/>
      <c r="G86" s="203">
        <f>G66</f>
        <v>0</v>
      </c>
    </row>
    <row r="87" spans="1:14" s="133" customFormat="1" ht="24" customHeight="1" x14ac:dyDescent="0.15">
      <c r="A87" s="178" t="s">
        <v>32</v>
      </c>
      <c r="B87" s="196" t="s">
        <v>113</v>
      </c>
      <c r="C87" s="197"/>
      <c r="D87" s="197"/>
      <c r="E87" s="197"/>
      <c r="F87" s="434"/>
      <c r="G87" s="203">
        <f>G78</f>
        <v>0</v>
      </c>
    </row>
    <row r="88" spans="1:14" s="133" customFormat="1" ht="18" customHeight="1" x14ac:dyDescent="0.15">
      <c r="A88" s="204"/>
      <c r="B88" s="205" t="s">
        <v>114</v>
      </c>
      <c r="C88" s="205"/>
      <c r="D88" s="206" t="s">
        <v>101</v>
      </c>
      <c r="E88" s="205"/>
      <c r="F88" s="435"/>
      <c r="G88" s="31">
        <f>SUM(G85:G87)</f>
        <v>0</v>
      </c>
    </row>
    <row r="89" spans="1:14" s="18" customFormat="1" ht="12.75" customHeight="1" x14ac:dyDescent="0.15">
      <c r="A89" s="25"/>
      <c r="B89" s="58"/>
      <c r="C89" s="26"/>
      <c r="D89" s="26"/>
      <c r="E89" s="26"/>
      <c r="F89" s="26"/>
      <c r="G89" s="27"/>
      <c r="N89" s="317"/>
    </row>
    <row r="90" spans="1:14" s="89" customFormat="1" ht="40.15" customHeight="1" x14ac:dyDescent="0.2">
      <c r="A90" s="612" t="s">
        <v>233</v>
      </c>
      <c r="B90" s="612"/>
      <c r="C90" s="612"/>
      <c r="D90" s="612"/>
      <c r="E90" s="612"/>
      <c r="F90" s="612"/>
      <c r="G90" s="612"/>
    </row>
    <row r="91" spans="1:14" s="18" customFormat="1" ht="28.9" customHeight="1" x14ac:dyDescent="0.15">
      <c r="A91" s="28">
        <v>3</v>
      </c>
      <c r="B91" s="517" t="str">
        <f>IF(F10="Sim","Submódulo - Provisão para Rescisão - PRORROGADO", "Submódulo - Provisão para Rescisão")</f>
        <v>Submódulo - Provisão para Rescisão</v>
      </c>
      <c r="C91" s="517"/>
      <c r="D91" s="517"/>
      <c r="E91" s="67" t="s">
        <v>117</v>
      </c>
      <c r="F91" s="155" t="s">
        <v>118</v>
      </c>
      <c r="G91" s="392" t="str">
        <f>PARAMETROS!B27&amp;" "&amp;PARAMETROS!C27</f>
        <v>Conta Vinculada? Sim</v>
      </c>
      <c r="K91" s="364"/>
    </row>
    <row r="92" spans="1:14" s="18" customFormat="1" ht="18" customHeight="1" x14ac:dyDescent="0.15">
      <c r="A92" s="601" t="s">
        <v>234</v>
      </c>
      <c r="B92" s="602"/>
      <c r="C92" s="602"/>
      <c r="D92" s="602"/>
      <c r="E92" s="603"/>
      <c r="F92" s="72">
        <v>0</v>
      </c>
      <c r="G92" s="391" t="s">
        <v>47</v>
      </c>
    </row>
    <row r="93" spans="1:14" s="18" customFormat="1" ht="31.9" customHeight="1" x14ac:dyDescent="0.15">
      <c r="A93" s="8" t="s">
        <v>13</v>
      </c>
      <c r="B93" s="518" t="str">
        <f>"Aviso prévio indenizado (probabilidade utilizada = "&amp;(F93*100)&amp;"%)."</f>
        <v>Aviso prévio indenizado (probabilidade utilizada = 5,55%).</v>
      </c>
      <c r="C93" s="519"/>
      <c r="D93" s="613"/>
      <c r="E93" s="343">
        <f>(((1+(1/12)+(1/12)+(1/12/3))*F93)+(((1/30)*3*1)*F92     ))/12</f>
        <v>5.524305555555554E-3</v>
      </c>
      <c r="F93" s="72">
        <v>5.5500000000000001E-2</v>
      </c>
      <c r="G93" s="32">
        <f>ROUND(((SUM(($G$42+($G$42/12)+($G$42/12)+($G$42/12/3)))*F93)+(($G$42/30*3*1)*F92))/12,2)</f>
        <v>0</v>
      </c>
      <c r="H93" s="66"/>
      <c r="I93" s="64"/>
      <c r="K93" s="256"/>
      <c r="M93" s="64"/>
      <c r="N93" s="64">
        <f>M93/12</f>
        <v>0</v>
      </c>
    </row>
    <row r="94" spans="1:14" s="18" customFormat="1" ht="37.9" customHeight="1" x14ac:dyDescent="0.15">
      <c r="A94" s="10" t="s">
        <v>15</v>
      </c>
      <c r="B94" s="496" t="s">
        <v>119</v>
      </c>
      <c r="C94" s="497"/>
      <c r="D94" s="585"/>
      <c r="E94" s="344">
        <f>(((1+(1/12))*F93)+(((1/30)*3*1)*F92    ))/12*F94</f>
        <v>4.0083333333333334E-4</v>
      </c>
      <c r="F94" s="53">
        <f>IF(F93&gt;0,F65,0)</f>
        <v>0.08</v>
      </c>
      <c r="G94" s="33">
        <f>ROUND(((SUM(G42+G51)*F93)+((G42/30)*3*1)*F92)/12*0.08,2)</f>
        <v>0</v>
      </c>
      <c r="H94" s="64"/>
      <c r="K94" s="256"/>
      <c r="L94" s="66"/>
      <c r="M94" s="437"/>
    </row>
    <row r="95" spans="1:14" s="18" customFormat="1" ht="18.75" customHeight="1" x14ac:dyDescent="0.15">
      <c r="A95" s="10" t="s">
        <v>17</v>
      </c>
      <c r="B95" s="496" t="s">
        <v>120</v>
      </c>
      <c r="C95" s="497"/>
      <c r="D95" s="585"/>
      <c r="E95" s="252"/>
      <c r="F95" s="53"/>
      <c r="G95" s="75" t="s">
        <v>0</v>
      </c>
      <c r="H95" s="66"/>
      <c r="L95" s="64"/>
      <c r="M95" s="66"/>
    </row>
    <row r="96" spans="1:14" s="18" customFormat="1" ht="10.5" x14ac:dyDescent="0.15">
      <c r="A96" s="74" t="s">
        <v>121</v>
      </c>
      <c r="B96" s="589" t="s">
        <v>122</v>
      </c>
      <c r="C96" s="590"/>
      <c r="D96" s="591"/>
      <c r="E96" s="254">
        <f>IF(RIGHT(G91,3)="Não",E94*F96,0.02)</f>
        <v>0.02</v>
      </c>
      <c r="F96" s="385">
        <f>IF(F93&gt;0,0.4,0)</f>
        <v>0.4</v>
      </c>
      <c r="G96" s="33">
        <f>IF(RIGHT(G91,3)="Não",ROUND(G94*F96,2),ROUND(G42*E96*F96,2))</f>
        <v>0</v>
      </c>
      <c r="H96" s="66"/>
      <c r="I96" s="64">
        <f>G98*10</f>
        <v>0</v>
      </c>
      <c r="K96" s="256"/>
      <c r="M96" s="64"/>
    </row>
    <row r="97" spans="1:15" s="18" customFormat="1" ht="21.6" hidden="1" customHeight="1" x14ac:dyDescent="0.15">
      <c r="A97" s="369" t="s">
        <v>123</v>
      </c>
      <c r="B97" s="592" t="s">
        <v>198</v>
      </c>
      <c r="C97" s="593"/>
      <c r="D97" s="370" t="s">
        <v>8</v>
      </c>
      <c r="E97" s="371">
        <f>E94*F97</f>
        <v>0</v>
      </c>
      <c r="F97" s="386">
        <f>IF(D97="Sim",10%,0)</f>
        <v>0</v>
      </c>
      <c r="G97" s="372">
        <f>ROUND($G$42*E97,2)</f>
        <v>0</v>
      </c>
      <c r="H97" s="64"/>
      <c r="K97" s="256"/>
      <c r="L97" s="255"/>
    </row>
    <row r="98" spans="1:15" s="18" customFormat="1" ht="29.25" customHeight="1" x14ac:dyDescent="0.15">
      <c r="A98" s="10" t="s">
        <v>19</v>
      </c>
      <c r="B98" s="522" t="str">
        <f>"Aviso prévio trabalhado (ocorrência = "&amp;(F98*100)&amp;"%) - "&amp;I98&amp;"(*)"</f>
        <v>Aviso prévio trabalhado (ocorrência = 100%) - 1º ANO DE CONTRATO(*)</v>
      </c>
      <c r="C98" s="523"/>
      <c r="D98" s="594"/>
      <c r="E98" s="388">
        <f>IF(F10="Não",1/30*7/12,1/30*3/12)</f>
        <v>1.9444444444444445E-2</v>
      </c>
      <c r="F98" s="387">
        <v>1</v>
      </c>
      <c r="G98" s="33">
        <f>ROUND(     (G$42+G78-F78)    *E98*F98,2)</f>
        <v>0</v>
      </c>
      <c r="H98" s="64"/>
      <c r="I98" s="18" t="str">
        <f>IF(PARAMETROS!C25="Sim", "APÓS PRORROGAÇÃO", "1º ANO DE CONTRATO")</f>
        <v>1º ANO DE CONTRATO</v>
      </c>
      <c r="K98" s="256"/>
      <c r="L98" s="64"/>
      <c r="M98" s="255"/>
    </row>
    <row r="99" spans="1:15" s="18" customFormat="1" ht="33.6" customHeight="1" x14ac:dyDescent="0.15">
      <c r="A99" s="10" t="s">
        <v>21</v>
      </c>
      <c r="B99" s="496" t="s">
        <v>217</v>
      </c>
      <c r="C99" s="497"/>
      <c r="D99" s="585"/>
      <c r="E99" s="253">
        <f>E98*F66</f>
        <v>7.1555555555555565E-3</v>
      </c>
      <c r="F99" s="53"/>
      <c r="G99" s="33">
        <f>ROUND(G$42 *E99*F98,2)</f>
        <v>0</v>
      </c>
      <c r="H99" s="66"/>
      <c r="I99" s="64"/>
      <c r="K99" s="256"/>
      <c r="L99" s="317"/>
      <c r="M99" s="115"/>
    </row>
    <row r="100" spans="1:15" s="18" customFormat="1" ht="20.45" customHeight="1" x14ac:dyDescent="0.15">
      <c r="A100" s="10" t="s">
        <v>23</v>
      </c>
      <c r="B100" s="522" t="s">
        <v>235</v>
      </c>
      <c r="C100" s="523"/>
      <c r="D100" s="594"/>
      <c r="E100" s="251"/>
      <c r="F100" s="53"/>
      <c r="G100" s="75" t="s">
        <v>0</v>
      </c>
      <c r="I100" s="115"/>
      <c r="M100" s="64"/>
    </row>
    <row r="101" spans="1:15" s="18" customFormat="1" ht="10.5" x14ac:dyDescent="0.15">
      <c r="A101" s="74" t="s">
        <v>127</v>
      </c>
      <c r="B101" s="589" t="s">
        <v>122</v>
      </c>
      <c r="C101" s="590"/>
      <c r="D101" s="591"/>
      <c r="E101" s="385">
        <f>IF(RIGHT(G91,3)="Não", E98*F65*F101,0.02)</f>
        <v>0.02</v>
      </c>
      <c r="F101" s="53">
        <f>IF(F98&gt;0,40%,0)</f>
        <v>0.4</v>
      </c>
      <c r="G101" s="389">
        <f>G42*E101</f>
        <v>0</v>
      </c>
      <c r="I101" s="186"/>
      <c r="K101" s="390"/>
      <c r="L101" s="390"/>
      <c r="M101" s="436"/>
      <c r="N101" s="64"/>
    </row>
    <row r="102" spans="1:15" s="18" customFormat="1" ht="13.15" hidden="1" customHeight="1" x14ac:dyDescent="0.15">
      <c r="A102" s="373" t="s">
        <v>128</v>
      </c>
      <c r="B102" s="595" t="s">
        <v>198</v>
      </c>
      <c r="C102" s="596"/>
      <c r="D102" s="374" t="s">
        <v>8</v>
      </c>
      <c r="E102" s="375">
        <f>(1 + 0.0833 + 0.0833 + 0.0278) * F102*F$94*0.9*0.5</f>
        <v>0</v>
      </c>
      <c r="F102" s="376">
        <f>IF(D102="Sim",10%,0)</f>
        <v>0</v>
      </c>
      <c r="G102" s="377">
        <f>ROUND($G$45*E102,2)</f>
        <v>0</v>
      </c>
      <c r="H102" s="66"/>
      <c r="I102" s="64"/>
      <c r="K102" s="256"/>
      <c r="L102" s="256"/>
    </row>
    <row r="103" spans="1:15" s="18" customFormat="1" ht="18.75" hidden="1" customHeight="1" x14ac:dyDescent="0.15">
      <c r="A103" s="378" t="s">
        <v>25</v>
      </c>
      <c r="B103" s="598" t="s">
        <v>258</v>
      </c>
      <c r="C103" s="598"/>
      <c r="D103" s="598"/>
      <c r="E103" s="379"/>
      <c r="F103" s="380"/>
      <c r="G103" s="381"/>
      <c r="H103" s="66"/>
      <c r="I103" s="64"/>
      <c r="K103" s="256"/>
      <c r="L103" s="256"/>
    </row>
    <row r="104" spans="1:15" s="84" customFormat="1" ht="18" customHeight="1" x14ac:dyDescent="0.15">
      <c r="A104" s="179"/>
      <c r="B104" s="285" t="s">
        <v>101</v>
      </c>
      <c r="C104" s="285"/>
      <c r="D104" s="285"/>
      <c r="E104" s="285"/>
      <c r="F104" s="159"/>
      <c r="G104" s="160">
        <f>SUM(G93:G102)</f>
        <v>0</v>
      </c>
    </row>
    <row r="105" spans="1:15" s="18" customFormat="1" ht="12.75" customHeight="1" x14ac:dyDescent="0.15">
      <c r="A105" s="25"/>
      <c r="B105" s="58"/>
      <c r="C105" s="26"/>
      <c r="D105" s="26"/>
      <c r="E105" s="26"/>
      <c r="F105" s="26"/>
      <c r="G105" s="27"/>
    </row>
    <row r="106" spans="1:15" s="89" customFormat="1" ht="18" customHeight="1" x14ac:dyDescent="0.2">
      <c r="A106" s="123" t="s">
        <v>129</v>
      </c>
      <c r="B106" s="86"/>
      <c r="C106" s="86"/>
      <c r="D106" s="124"/>
      <c r="E106" s="124"/>
      <c r="F106" s="124"/>
      <c r="G106" s="88"/>
    </row>
    <row r="107" spans="1:15" s="18" customFormat="1" ht="24" customHeight="1" x14ac:dyDescent="0.2">
      <c r="A107" s="28" t="s">
        <v>130</v>
      </c>
      <c r="B107" s="597" t="str">
        <f>"Submódulo - Substituto nas Ausências Legais  - Vinculada? "&amp;PARAMETROS!$C$27</f>
        <v>Submódulo - Substituto nas Ausências Legais  - Vinculada? Sim</v>
      </c>
      <c r="C107" s="517"/>
      <c r="D107" s="517"/>
      <c r="E107" s="182" t="s">
        <v>259</v>
      </c>
      <c r="F107" s="257" t="s">
        <v>265</v>
      </c>
      <c r="G107" s="121" t="s">
        <v>47</v>
      </c>
      <c r="I107" s="314" t="s">
        <v>218</v>
      </c>
    </row>
    <row r="108" spans="1:15" s="18" customFormat="1" ht="28.9" customHeight="1" x14ac:dyDescent="0.15">
      <c r="A108" s="8" t="s">
        <v>13</v>
      </c>
      <c r="B108" s="541" t="s">
        <v>263</v>
      </c>
      <c r="C108" s="542"/>
      <c r="D108" s="542"/>
      <c r="E108" s="424" t="str">
        <f>(IF(RIGHT(B114,3)="Sim",1/11,"Somente na prorrogação"))</f>
        <v>Somente na prorrogação</v>
      </c>
      <c r="F108" s="427" t="str">
        <f>(IF(RIGHT(B114,3)="Sim",1,"Somente na prorrogação"))</f>
        <v>Somente na prorrogação</v>
      </c>
      <c r="G108" s="428" t="str">
        <f>IF(RIGHT(B114,3)="Não","Somente na prorrogação",ROUND(((G42+G88+G104+G136-F78-F136)/F29),2))</f>
        <v>Somente na prorrogação</v>
      </c>
      <c r="H108" s="66"/>
      <c r="I108" s="64"/>
      <c r="K108" s="64"/>
      <c r="M108" s="66"/>
      <c r="N108" s="64"/>
      <c r="O108" s="64"/>
    </row>
    <row r="109" spans="1:15" s="18" customFormat="1" ht="28.9" customHeight="1" x14ac:dyDescent="0.15">
      <c r="A109" s="10" t="s">
        <v>15</v>
      </c>
      <c r="B109" s="496" t="str">
        <f>"Substituto nas Ausências legais ("&amp;(F109)&amp;" faltas/ano)"</f>
        <v>Substituto nas Ausências legais (8 faltas/ano)</v>
      </c>
      <c r="C109" s="497"/>
      <c r="D109" s="497"/>
      <c r="E109" s="425">
        <f>ROUND((F109/30/12),4)</f>
        <v>2.2200000000000001E-2</v>
      </c>
      <c r="F109" s="259">
        <v>8</v>
      </c>
      <c r="G109" s="33">
        <f>(G42+G88+G104)/30/12*F109</f>
        <v>0</v>
      </c>
      <c r="H109" s="66"/>
      <c r="I109" s="64"/>
      <c r="M109" s="66"/>
      <c r="N109" s="66"/>
    </row>
    <row r="110" spans="1:15" s="18" customFormat="1" ht="28.9" customHeight="1" x14ac:dyDescent="0.15">
      <c r="A110" s="10" t="s">
        <v>17</v>
      </c>
      <c r="B110" s="496" t="str">
        <f>"Substituto Licença paternidade (probabilidade de ocorrência = "&amp;(F110*100)&amp;"%/ano)"</f>
        <v>Substituto Licença paternidade (probabilidade de ocorrência = 2%/ano)</v>
      </c>
      <c r="C110" s="497"/>
      <c r="D110" s="497"/>
      <c r="E110" s="425">
        <f>ROUND((5/30/12) * F110,4)</f>
        <v>2.9999999999999997E-4</v>
      </c>
      <c r="F110" s="258">
        <v>0.02</v>
      </c>
      <c r="G110" s="33">
        <f>ROUND(G$45/30*5/12*F110,2)</f>
        <v>0</v>
      </c>
      <c r="N110" s="64"/>
    </row>
    <row r="111" spans="1:15" s="18" customFormat="1" ht="28.9" customHeight="1" x14ac:dyDescent="0.15">
      <c r="A111" s="10" t="s">
        <v>19</v>
      </c>
      <c r="B111" s="496" t="str">
        <f>"Substituto Ausência por acidente de trabalho (probabilidade de ocorrência = "&amp;(F111)&amp;" Faltas/ano)"</f>
        <v>Substituto Ausência por acidente de trabalho (probabilidade de ocorrência = 5 Faltas/ano)</v>
      </c>
      <c r="C111" s="497"/>
      <c r="D111" s="585"/>
      <c r="E111" s="425">
        <f>ROUND((F111/30/12 ),4)</f>
        <v>1.3899999999999999E-2</v>
      </c>
      <c r="F111" s="259">
        <v>5</v>
      </c>
      <c r="G111" s="33">
        <f>((G45)+G88+G104)/30/12*F111</f>
        <v>0</v>
      </c>
      <c r="H111" s="64"/>
      <c r="N111" s="64"/>
    </row>
    <row r="112" spans="1:15" s="18" customFormat="1" ht="28.9" customHeight="1" x14ac:dyDescent="0.15">
      <c r="A112" s="10" t="s">
        <v>21</v>
      </c>
      <c r="B112" s="496" t="str">
        <f>"Substituto Licença maternidade (probabilidade de ocorrência = "&amp;(F112*100)&amp;"% ao ano)"</f>
        <v>Substituto Licença maternidade (probabilidade de ocorrência = 5,28% ao ano)</v>
      </c>
      <c r="C112" s="497"/>
      <c r="D112" s="585"/>
      <c r="E112" s="425">
        <f>((1/12)+(1/3/12)) * F112 * (6/12)</f>
        <v>2.9333333333333334E-3</v>
      </c>
      <c r="F112" s="258">
        <v>5.28E-2</v>
      </c>
      <c r="G112" s="33">
        <f>ROUND(G$45/30*5/12*F112,2)</f>
        <v>0</v>
      </c>
    </row>
    <row r="113" spans="1:14" s="18" customFormat="1" ht="28.9" customHeight="1" x14ac:dyDescent="0.15">
      <c r="A113" s="10" t="s">
        <v>23</v>
      </c>
      <c r="B113" s="586" t="s">
        <v>133</v>
      </c>
      <c r="C113" s="587"/>
      <c r="D113" s="588"/>
      <c r="E113" s="426"/>
      <c r="F113" s="315" t="s">
        <v>0</v>
      </c>
      <c r="G113" s="34"/>
      <c r="H113" s="64"/>
    </row>
    <row r="114" spans="1:14" s="18" customFormat="1" ht="18" customHeight="1" x14ac:dyDescent="0.15">
      <c r="A114" s="318"/>
      <c r="B114" s="423" t="str">
        <f>"Contrato prorrogado? "&amp;F10</f>
        <v>Contrato prorrogado? Não</v>
      </c>
      <c r="C114" s="286"/>
      <c r="D114" s="286"/>
      <c r="E114" s="180" t="s">
        <v>260</v>
      </c>
      <c r="F114" s="47"/>
      <c r="G114" s="11">
        <f>SUM(G108:G113)</f>
        <v>0</v>
      </c>
      <c r="K114" s="255"/>
      <c r="L114" s="255"/>
    </row>
    <row r="115" spans="1:14" s="18" customFormat="1" ht="10.5" x14ac:dyDescent="0.15">
      <c r="A115" s="328"/>
      <c r="B115" s="328"/>
      <c r="C115" s="328"/>
      <c r="D115" s="328"/>
      <c r="E115" s="328"/>
      <c r="F115" s="328"/>
      <c r="G115" s="328"/>
    </row>
    <row r="116" spans="1:14" s="18" customFormat="1" ht="24" customHeight="1" x14ac:dyDescent="0.15">
      <c r="A116" s="29" t="s">
        <v>136</v>
      </c>
      <c r="B116" s="508" t="s">
        <v>137</v>
      </c>
      <c r="C116" s="509"/>
      <c r="D116" s="509"/>
      <c r="E116" s="509"/>
      <c r="F116" s="510"/>
      <c r="G116" s="121" t="s">
        <v>47</v>
      </c>
    </row>
    <row r="117" spans="1:14" s="18" customFormat="1" ht="22.5" customHeight="1" x14ac:dyDescent="0.15">
      <c r="A117" s="8" t="s">
        <v>13</v>
      </c>
      <c r="B117" s="527" t="s">
        <v>138</v>
      </c>
      <c r="C117" s="528"/>
      <c r="D117" s="528"/>
      <c r="E117" s="528"/>
      <c r="F117" s="287" t="s">
        <v>8</v>
      </c>
      <c r="G117" s="32" t="str">
        <f>IF(F117="Sim",ROUND(G$45/$G$30*22*(F118*24),4),"")</f>
        <v/>
      </c>
      <c r="H117" s="66"/>
      <c r="I117" s="64"/>
    </row>
    <row r="118" spans="1:14" s="18" customFormat="1" ht="22.5" customHeight="1" x14ac:dyDescent="0.15">
      <c r="A118" s="177" t="s">
        <v>140</v>
      </c>
      <c r="B118" s="498" t="s">
        <v>141</v>
      </c>
      <c r="C118" s="499"/>
      <c r="D118" s="499"/>
      <c r="E118" s="499"/>
      <c r="F118" s="157">
        <v>4.1666666666666664E-2</v>
      </c>
      <c r="G118" s="34"/>
      <c r="H118" s="64"/>
      <c r="N118" s="115"/>
    </row>
    <row r="119" spans="1:14" s="18" customFormat="1" ht="18" customHeight="1" x14ac:dyDescent="0.15">
      <c r="A119" s="316"/>
      <c r="B119" s="205" t="s">
        <v>101</v>
      </c>
      <c r="C119" s="205"/>
      <c r="D119" s="205"/>
      <c r="E119" s="205"/>
      <c r="F119" s="207"/>
      <c r="G119" s="12">
        <f>SUM(G117:G118)</f>
        <v>0</v>
      </c>
    </row>
    <row r="120" spans="1:14" s="18" customFormat="1" ht="10.5" x14ac:dyDescent="0.15">
      <c r="A120" s="531" t="s">
        <v>142</v>
      </c>
      <c r="B120" s="513"/>
      <c r="C120" s="513"/>
      <c r="D120" s="513"/>
      <c r="E120" s="513"/>
      <c r="F120" s="513"/>
      <c r="G120" s="532"/>
    </row>
    <row r="121" spans="1:14" s="18" customFormat="1" ht="10.5" x14ac:dyDescent="0.15">
      <c r="A121" s="582" t="s">
        <v>219</v>
      </c>
      <c r="B121" s="583"/>
      <c r="C121" s="583"/>
      <c r="D121" s="583"/>
      <c r="E121" s="583"/>
      <c r="F121" s="583"/>
      <c r="G121" s="584"/>
    </row>
    <row r="122" spans="1:14" s="18" customFormat="1" ht="17.25" customHeight="1" x14ac:dyDescent="0.15">
      <c r="A122" s="70"/>
      <c r="B122" s="70"/>
      <c r="C122" s="70"/>
      <c r="D122" s="70"/>
      <c r="E122" s="70"/>
      <c r="F122" s="70"/>
      <c r="G122" s="70"/>
    </row>
    <row r="123" spans="1:14" s="133" customFormat="1" ht="24" customHeight="1" x14ac:dyDescent="0.15">
      <c r="A123" s="135" t="s">
        <v>144</v>
      </c>
      <c r="B123" s="141"/>
      <c r="C123" s="142"/>
      <c r="D123" s="142"/>
      <c r="E123" s="142"/>
      <c r="F123" s="142"/>
      <c r="G123" s="143"/>
    </row>
    <row r="124" spans="1:14" s="134" customFormat="1" ht="24" customHeight="1" x14ac:dyDescent="0.15">
      <c r="A124" s="136">
        <v>4</v>
      </c>
      <c r="B124" s="137" t="s">
        <v>110</v>
      </c>
      <c r="C124" s="138"/>
      <c r="D124" s="138"/>
      <c r="E124" s="138"/>
      <c r="F124" s="138"/>
      <c r="G124" s="139"/>
    </row>
    <row r="125" spans="1:14" s="133" customFormat="1" ht="24" customHeight="1" x14ac:dyDescent="0.15">
      <c r="A125" s="140" t="s">
        <v>130</v>
      </c>
      <c r="B125" s="141" t="s">
        <v>145</v>
      </c>
      <c r="C125" s="142"/>
      <c r="D125" s="142"/>
      <c r="E125" s="142"/>
      <c r="F125" s="143"/>
      <c r="G125" s="149">
        <f>G114</f>
        <v>0</v>
      </c>
    </row>
    <row r="126" spans="1:14" s="133" customFormat="1" ht="24" customHeight="1" x14ac:dyDescent="0.15">
      <c r="A126" s="140" t="s">
        <v>136</v>
      </c>
      <c r="B126" s="141" t="s">
        <v>146</v>
      </c>
      <c r="C126" s="142"/>
      <c r="D126" s="142"/>
      <c r="E126" s="142"/>
      <c r="F126" s="143"/>
      <c r="G126" s="149">
        <f>G119</f>
        <v>0</v>
      </c>
    </row>
    <row r="127" spans="1:14" s="133" customFormat="1" ht="24" customHeight="1" x14ac:dyDescent="0.15">
      <c r="A127" s="140"/>
      <c r="B127" s="141"/>
      <c r="C127" s="142"/>
      <c r="D127" s="142"/>
      <c r="E127" s="142"/>
      <c r="F127" s="143"/>
      <c r="G127" s="149"/>
    </row>
    <row r="128" spans="1:14" s="133" customFormat="1" ht="18" customHeight="1" x14ac:dyDescent="0.15">
      <c r="A128" s="147"/>
      <c r="B128" s="144" t="s">
        <v>114</v>
      </c>
      <c r="C128" s="144"/>
      <c r="D128" s="148" t="s">
        <v>101</v>
      </c>
      <c r="E128" s="144"/>
      <c r="F128" s="145"/>
      <c r="G128" s="146">
        <f>SUM(G125:G127)</f>
        <v>0</v>
      </c>
    </row>
    <row r="129" spans="1:9" s="18" customFormat="1" ht="18" customHeight="1" x14ac:dyDescent="0.15">
      <c r="A129" s="25"/>
      <c r="B129" s="58"/>
      <c r="C129" s="26"/>
      <c r="D129" s="26"/>
      <c r="E129" s="26"/>
      <c r="F129" s="26"/>
      <c r="G129" s="27"/>
    </row>
    <row r="130" spans="1:9" s="129" customFormat="1" ht="18" customHeight="1" x14ac:dyDescent="0.2">
      <c r="A130" s="123" t="s">
        <v>45</v>
      </c>
      <c r="B130" s="126"/>
      <c r="C130" s="126"/>
      <c r="D130" s="127"/>
      <c r="E130" s="127"/>
      <c r="F130" s="127"/>
      <c r="G130" s="128"/>
    </row>
    <row r="131" spans="1:9" s="130" customFormat="1" ht="18" customHeight="1" x14ac:dyDescent="0.2">
      <c r="A131" s="6">
        <v>5</v>
      </c>
      <c r="B131" s="62" t="s">
        <v>46</v>
      </c>
      <c r="C131" s="285"/>
      <c r="D131" s="285"/>
      <c r="E131" s="285"/>
      <c r="F131" s="429" t="s">
        <v>261</v>
      </c>
      <c r="G131" s="60" t="s">
        <v>47</v>
      </c>
    </row>
    <row r="132" spans="1:9" s="130" customFormat="1" ht="18" customHeight="1" x14ac:dyDescent="0.2">
      <c r="A132" s="8" t="s">
        <v>13</v>
      </c>
      <c r="B132" s="281" t="s">
        <v>48</v>
      </c>
      <c r="C132" s="282"/>
      <c r="D132" s="282"/>
      <c r="E132" s="282"/>
      <c r="F132" s="430"/>
      <c r="G132" s="161">
        <f>PARAMETROS!C59</f>
        <v>0</v>
      </c>
      <c r="I132" s="131"/>
    </row>
    <row r="133" spans="1:9" s="130" customFormat="1" ht="18" customHeight="1" x14ac:dyDescent="0.2">
      <c r="A133" s="10" t="s">
        <v>15</v>
      </c>
      <c r="B133" s="283" t="s">
        <v>49</v>
      </c>
      <c r="C133" s="284"/>
      <c r="D133" s="284"/>
      <c r="E133" s="284"/>
      <c r="F133" s="431" t="s">
        <v>139</v>
      </c>
      <c r="G133" s="161">
        <f>PARAMETROS!C60</f>
        <v>0</v>
      </c>
    </row>
    <row r="134" spans="1:9" s="130" customFormat="1" ht="18" customHeight="1" x14ac:dyDescent="0.2">
      <c r="A134" s="10" t="s">
        <v>17</v>
      </c>
      <c r="B134" s="283" t="s">
        <v>50</v>
      </c>
      <c r="C134" s="284"/>
      <c r="D134" s="284"/>
      <c r="E134" s="284"/>
      <c r="F134" s="431" t="s">
        <v>139</v>
      </c>
      <c r="G134" s="161">
        <f>PARAMETROS!C61</f>
        <v>0</v>
      </c>
    </row>
    <row r="135" spans="1:9" s="130" customFormat="1" ht="18" customHeight="1" x14ac:dyDescent="0.2">
      <c r="A135" s="177" t="s">
        <v>25</v>
      </c>
      <c r="B135" s="273" t="s">
        <v>51</v>
      </c>
      <c r="C135" s="274"/>
      <c r="D135" s="274"/>
      <c r="E135" s="274"/>
      <c r="F135" s="432"/>
      <c r="G135" s="161">
        <f>PARAMETROS!C62</f>
        <v>0</v>
      </c>
    </row>
    <row r="136" spans="1:9" s="130" customFormat="1" ht="18" customHeight="1" x14ac:dyDescent="0.2">
      <c r="A136" s="13"/>
      <c r="B136" s="180" t="s">
        <v>29</v>
      </c>
      <c r="C136" s="52"/>
      <c r="D136" s="52"/>
      <c r="E136" s="52"/>
      <c r="F136" s="433">
        <f>SUMIF(F132:F135,"Sim",G132:G135)</f>
        <v>0</v>
      </c>
      <c r="G136" s="14">
        <f>SUM(G132:G135)</f>
        <v>0</v>
      </c>
    </row>
    <row r="137" spans="1:9" s="76" customFormat="1" ht="15.75" customHeight="1" x14ac:dyDescent="0.15">
      <c r="A137" s="77"/>
      <c r="B137" s="78"/>
      <c r="C137" s="77"/>
      <c r="D137" s="77"/>
      <c r="E137" s="77"/>
      <c r="F137" s="77"/>
      <c r="G137" s="77"/>
    </row>
    <row r="138" spans="1:9" s="89" customFormat="1" ht="18" customHeight="1" x14ac:dyDescent="0.2">
      <c r="A138" s="85" t="s">
        <v>149</v>
      </c>
      <c r="B138" s="86"/>
      <c r="C138" s="86"/>
      <c r="D138" s="87"/>
      <c r="E138" s="87"/>
      <c r="F138" s="87"/>
      <c r="G138" s="88"/>
    </row>
    <row r="139" spans="1:9" s="18" customFormat="1" ht="18" customHeight="1" x14ac:dyDescent="0.15">
      <c r="A139" s="28">
        <v>6</v>
      </c>
      <c r="B139" s="61" t="s">
        <v>150</v>
      </c>
      <c r="C139" s="279"/>
      <c r="D139" s="279"/>
      <c r="E139" s="279"/>
      <c r="F139" s="54" t="s">
        <v>12</v>
      </c>
      <c r="G139" s="60" t="s">
        <v>47</v>
      </c>
    </row>
    <row r="140" spans="1:9" s="18" customFormat="1" ht="19.5" customHeight="1" x14ac:dyDescent="0.15">
      <c r="A140" s="8" t="s">
        <v>13</v>
      </c>
      <c r="B140" s="489" t="s">
        <v>151</v>
      </c>
      <c r="C140" s="490"/>
      <c r="D140" s="490"/>
      <c r="E140" s="490"/>
      <c r="F140" s="72">
        <v>0.1</v>
      </c>
      <c r="G140" s="91">
        <f>ROUND(($G$45+$G$88+$G$104+$G$128+$G$136)*F140,2)</f>
        <v>0</v>
      </c>
      <c r="H140" s="64"/>
    </row>
    <row r="141" spans="1:9" s="18" customFormat="1" ht="19.5" customHeight="1" x14ac:dyDescent="0.15">
      <c r="A141" s="179" t="s">
        <v>15</v>
      </c>
      <c r="B141" s="489" t="s">
        <v>264</v>
      </c>
      <c r="C141" s="490"/>
      <c r="D141" s="490"/>
      <c r="E141" s="490"/>
      <c r="F141" s="92">
        <v>0.1</v>
      </c>
      <c r="G141" s="91">
        <f>ROUND(($G$45+$G$88+$G$104+$G$128+$G$136+$G$140)*F141,2)</f>
        <v>0</v>
      </c>
    </row>
    <row r="142" spans="1:9" s="18" customFormat="1" ht="18" customHeight="1" x14ac:dyDescent="0.15">
      <c r="A142" s="179" t="s">
        <v>17</v>
      </c>
      <c r="B142" s="63" t="s">
        <v>153</v>
      </c>
      <c r="C142" s="93"/>
      <c r="D142" s="93"/>
      <c r="E142" s="93"/>
      <c r="F142" s="35">
        <f>SUM(F144:F149)</f>
        <v>8.6499999999999994E-2</v>
      </c>
      <c r="G142" s="36"/>
    </row>
    <row r="143" spans="1:9" s="18" customFormat="1" ht="18" customHeight="1" x14ac:dyDescent="0.15">
      <c r="A143" s="179"/>
      <c r="B143" s="63" t="s">
        <v>154</v>
      </c>
      <c r="C143" s="93"/>
      <c r="D143" s="93"/>
      <c r="E143" s="93"/>
      <c r="F143" s="35"/>
      <c r="G143" s="31"/>
    </row>
    <row r="144" spans="1:9" s="18" customFormat="1" ht="18" customHeight="1" x14ac:dyDescent="0.15">
      <c r="A144" s="10"/>
      <c r="B144" s="162" t="s">
        <v>155</v>
      </c>
      <c r="C144" s="163"/>
      <c r="D144" s="163"/>
      <c r="E144" s="163"/>
      <c r="F144" s="164">
        <v>6.4999999999999997E-3</v>
      </c>
      <c r="G144" s="165">
        <f>ROUND($G$153*F144,2)</f>
        <v>0</v>
      </c>
    </row>
    <row r="145" spans="1:15" s="18" customFormat="1" ht="18" customHeight="1" x14ac:dyDescent="0.15">
      <c r="A145" s="10"/>
      <c r="B145" s="162" t="s">
        <v>156</v>
      </c>
      <c r="C145" s="163"/>
      <c r="D145" s="163"/>
      <c r="E145" s="163"/>
      <c r="F145" s="164">
        <v>0.03</v>
      </c>
      <c r="G145" s="165">
        <f>ROUND($G$153*F145,2)</f>
        <v>0</v>
      </c>
    </row>
    <row r="146" spans="1:15" s="18" customFormat="1" ht="18" customHeight="1" x14ac:dyDescent="0.15">
      <c r="A146" s="179"/>
      <c r="B146" s="63" t="s">
        <v>157</v>
      </c>
      <c r="C146" s="93"/>
      <c r="D146" s="93"/>
      <c r="E146" s="93"/>
      <c r="F146" s="92"/>
      <c r="G146" s="160"/>
    </row>
    <row r="147" spans="1:15" s="18" customFormat="1" ht="18" customHeight="1" x14ac:dyDescent="0.15">
      <c r="A147" s="179"/>
      <c r="B147" s="63" t="s">
        <v>158</v>
      </c>
      <c r="C147" s="93"/>
      <c r="D147" s="93"/>
      <c r="E147" s="93"/>
      <c r="F147" s="35"/>
      <c r="G147" s="160"/>
    </row>
    <row r="148" spans="1:15" s="18" customFormat="1" ht="18" customHeight="1" x14ac:dyDescent="0.15">
      <c r="A148" s="8"/>
      <c r="B148" s="166" t="s">
        <v>159</v>
      </c>
      <c r="C148" s="168"/>
      <c r="D148" s="168"/>
      <c r="E148" s="168"/>
      <c r="F148" s="167">
        <v>0.05</v>
      </c>
      <c r="G148" s="165">
        <f>ROUND($G$153*F148,2)</f>
        <v>0</v>
      </c>
    </row>
    <row r="149" spans="1:15" s="18" customFormat="1" ht="18" customHeight="1" x14ac:dyDescent="0.15">
      <c r="A149" s="179"/>
      <c r="B149" s="63" t="s">
        <v>160</v>
      </c>
      <c r="C149" s="93"/>
      <c r="D149" s="93"/>
      <c r="E149" s="93"/>
      <c r="F149" s="35"/>
      <c r="G149" s="14"/>
    </row>
    <row r="150" spans="1:15" s="18" customFormat="1" ht="18" customHeight="1" x14ac:dyDescent="0.15">
      <c r="A150" s="179"/>
      <c r="B150" s="285" t="s">
        <v>101</v>
      </c>
      <c r="C150" s="285"/>
      <c r="D150" s="285"/>
      <c r="E150" s="285"/>
      <c r="F150" s="35"/>
      <c r="G150" s="31">
        <f>SUM(G140:G149)</f>
        <v>0</v>
      </c>
      <c r="N150" s="64"/>
      <c r="O150" s="64"/>
    </row>
    <row r="151" spans="1:15" s="7" customFormat="1" ht="18" customHeight="1" x14ac:dyDescent="0.2">
      <c r="A151" s="38" t="str">
        <f>"a) F = Tributos (%) /100"&amp;" = "&amp;(F142*100)&amp;"% / 100 = "&amp;ROUND((F142*100)/100,4)</f>
        <v>a) F = Tributos (%) /100 = 8,65% / 100 = 0,0865</v>
      </c>
      <c r="B151" s="39"/>
      <c r="C151" s="39"/>
      <c r="D151" s="39"/>
      <c r="E151" s="39"/>
      <c r="F151" s="39"/>
      <c r="G151" s="40"/>
      <c r="H151" s="49"/>
      <c r="I151" s="50"/>
    </row>
    <row r="152" spans="1:15" s="7" customFormat="1" ht="18" customHeight="1" x14ac:dyDescent="0.2">
      <c r="A152" s="42" t="s">
        <v>161</v>
      </c>
      <c r="B152" s="41"/>
      <c r="C152" s="41"/>
      <c r="D152" s="41"/>
      <c r="E152" s="41"/>
      <c r="F152" s="41"/>
      <c r="G152" s="37">
        <f>ROUND(($G$45+$G$88+$G$104+$G$128+$G$136+$G$140+$G$141),2)</f>
        <v>0</v>
      </c>
      <c r="H152" s="46"/>
      <c r="I152" s="50"/>
      <c r="N152" s="68"/>
      <c r="O152" s="68"/>
    </row>
    <row r="153" spans="1:15" s="7" customFormat="1" ht="18" customHeight="1" x14ac:dyDescent="0.2">
      <c r="A153" s="42" t="str">
        <f>"c) PF= P / (1 - F) = P  / (1 - "&amp;F142&amp;") =  P / "&amp;(1-F142)&amp;" = "</f>
        <v xml:space="preserve">c) PF= P / (1 - F) = P  / (1 - 0,0865) =  P / 0,9135 = </v>
      </c>
      <c r="B153" s="41"/>
      <c r="C153" s="41"/>
      <c r="D153" s="41"/>
      <c r="E153" s="41"/>
      <c r="F153" s="41"/>
      <c r="G153" s="37">
        <f>ROUND(G152/ (1-$F142),2)</f>
        <v>0</v>
      </c>
      <c r="H153" s="46"/>
      <c r="I153" s="50"/>
      <c r="O153" s="68"/>
    </row>
    <row r="154" spans="1:15" s="7" customFormat="1" ht="18" customHeight="1" x14ac:dyDescent="0.2">
      <c r="A154" s="43" t="str">
        <f>"VALOR DOS TRIBUTOS = PF - P =  "</f>
        <v xml:space="preserve">VALOR DOS TRIBUTOS = PF - P =  </v>
      </c>
      <c r="B154" s="44"/>
      <c r="C154" s="44"/>
      <c r="D154" s="44"/>
      <c r="E154" s="44"/>
      <c r="F154" s="45"/>
      <c r="G154" s="48">
        <f>G153-G152</f>
        <v>0</v>
      </c>
      <c r="H154" s="46"/>
      <c r="I154" s="50"/>
    </row>
    <row r="155" spans="1:15" s="7" customFormat="1" ht="10.5" x14ac:dyDescent="0.2">
      <c r="A155" s="329" t="s">
        <v>162</v>
      </c>
      <c r="B155" s="330" t="s">
        <v>163</v>
      </c>
      <c r="C155" s="331"/>
      <c r="D155" s="331"/>
      <c r="E155" s="331"/>
      <c r="F155" s="39"/>
      <c r="G155" s="332"/>
      <c r="H155" s="46"/>
      <c r="I155" s="50"/>
    </row>
    <row r="156" spans="1:15" s="7" customFormat="1" ht="10.5" x14ac:dyDescent="0.2">
      <c r="A156" s="333"/>
      <c r="B156" s="79" t="s">
        <v>164</v>
      </c>
      <c r="C156" s="95"/>
      <c r="D156" s="95"/>
      <c r="E156" s="95"/>
      <c r="F156" s="41"/>
      <c r="G156" s="334"/>
      <c r="H156" s="46"/>
      <c r="I156" s="50"/>
    </row>
    <row r="157" spans="1:15" s="7" customFormat="1" ht="10.5" x14ac:dyDescent="0.2">
      <c r="A157" s="333"/>
      <c r="B157" s="79" t="s">
        <v>165</v>
      </c>
      <c r="C157" s="95"/>
      <c r="D157" s="95"/>
      <c r="E157" s="95"/>
      <c r="F157" s="41"/>
      <c r="G157" s="334"/>
      <c r="H157" s="46"/>
      <c r="I157" s="50"/>
    </row>
    <row r="158" spans="1:15" s="7" customFormat="1" ht="10.5" x14ac:dyDescent="0.2">
      <c r="A158" s="43"/>
      <c r="B158" s="440"/>
      <c r="C158" s="44"/>
      <c r="D158" s="44"/>
      <c r="E158" s="44"/>
      <c r="F158" s="45"/>
      <c r="G158" s="48"/>
      <c r="H158" s="46"/>
      <c r="I158" s="50"/>
    </row>
    <row r="159" spans="1:15" ht="18" customHeight="1" x14ac:dyDescent="0.15">
      <c r="H159" s="51"/>
      <c r="I159" s="51"/>
    </row>
    <row r="160" spans="1:15" s="89" customFormat="1" ht="18" customHeight="1" x14ac:dyDescent="0.2">
      <c r="A160" s="90" t="s">
        <v>166</v>
      </c>
      <c r="B160" s="86"/>
      <c r="C160" s="86"/>
      <c r="D160" s="87"/>
      <c r="E160" s="87"/>
      <c r="F160" s="87"/>
      <c r="G160" s="88"/>
    </row>
    <row r="161" spans="1:9" s="18" customFormat="1" ht="21.75" customHeight="1" x14ac:dyDescent="0.15">
      <c r="A161" s="97"/>
      <c r="B161" s="491" t="s">
        <v>167</v>
      </c>
      <c r="C161" s="491"/>
      <c r="D161" s="491"/>
      <c r="E161" s="491"/>
      <c r="F161" s="492"/>
      <c r="G161" s="98" t="s">
        <v>47</v>
      </c>
      <c r="H161" s="25"/>
      <c r="I161" s="25"/>
    </row>
    <row r="162" spans="1:9" s="18" customFormat="1" ht="21.75" customHeight="1" x14ac:dyDescent="0.15">
      <c r="A162" s="100" t="s">
        <v>13</v>
      </c>
      <c r="B162" s="101" t="s">
        <v>168</v>
      </c>
      <c r="C162" s="102"/>
      <c r="D162" s="102"/>
      <c r="E162" s="102"/>
      <c r="F162" s="103"/>
      <c r="G162" s="169">
        <f>$G$45</f>
        <v>0</v>
      </c>
    </row>
    <row r="163" spans="1:9" s="18" customFormat="1" ht="21.75" customHeight="1" x14ac:dyDescent="0.15">
      <c r="A163" s="104" t="s">
        <v>15</v>
      </c>
      <c r="B163" s="105" t="s">
        <v>169</v>
      </c>
      <c r="C163" s="106"/>
      <c r="D163" s="106"/>
      <c r="E163" s="106"/>
      <c r="F163" s="69"/>
      <c r="G163" s="170">
        <f>$G$88</f>
        <v>0</v>
      </c>
    </row>
    <row r="164" spans="1:9" s="18" customFormat="1" ht="21.75" customHeight="1" x14ac:dyDescent="0.15">
      <c r="A164" s="104" t="s">
        <v>17</v>
      </c>
      <c r="B164" s="105" t="s">
        <v>170</v>
      </c>
      <c r="C164" s="106"/>
      <c r="D164" s="106"/>
      <c r="E164" s="106"/>
      <c r="F164" s="69"/>
      <c r="G164" s="170">
        <f>$G$104</f>
        <v>0</v>
      </c>
    </row>
    <row r="165" spans="1:9" s="18" customFormat="1" ht="21.75" customHeight="1" x14ac:dyDescent="0.15">
      <c r="A165" s="104" t="s">
        <v>19</v>
      </c>
      <c r="B165" s="105" t="s">
        <v>171</v>
      </c>
      <c r="C165" s="106"/>
      <c r="D165" s="106"/>
      <c r="E165" s="106"/>
      <c r="F165" s="69"/>
      <c r="G165" s="170">
        <f>$G$128</f>
        <v>0</v>
      </c>
    </row>
    <row r="166" spans="1:9" s="18" customFormat="1" ht="21.75" customHeight="1" x14ac:dyDescent="0.15">
      <c r="A166" s="104" t="s">
        <v>21</v>
      </c>
      <c r="B166" s="105" t="s">
        <v>172</v>
      </c>
      <c r="C166" s="106"/>
      <c r="D166" s="106"/>
      <c r="E166" s="106"/>
      <c r="F166" s="69"/>
      <c r="G166" s="170">
        <f>$G$136</f>
        <v>0</v>
      </c>
    </row>
    <row r="167" spans="1:9" s="18" customFormat="1" ht="21.75" customHeight="1" x14ac:dyDescent="0.15">
      <c r="A167" s="104"/>
      <c r="B167" s="107" t="s">
        <v>173</v>
      </c>
      <c r="C167" s="106"/>
      <c r="D167" s="106"/>
      <c r="E167" s="106"/>
      <c r="F167" s="69"/>
      <c r="G167" s="171">
        <f>SUM(G162:G166)</f>
        <v>0</v>
      </c>
    </row>
    <row r="168" spans="1:9" s="18" customFormat="1" ht="21.75" customHeight="1" x14ac:dyDescent="0.15">
      <c r="A168" s="109" t="s">
        <v>23</v>
      </c>
      <c r="B168" s="110" t="s">
        <v>174</v>
      </c>
      <c r="C168" s="111"/>
      <c r="D168" s="111"/>
      <c r="E168" s="111"/>
      <c r="F168" s="112"/>
      <c r="G168" s="172">
        <f>$G$150</f>
        <v>0</v>
      </c>
    </row>
    <row r="169" spans="1:9" s="18" customFormat="1" ht="21.75" customHeight="1" x14ac:dyDescent="0.15">
      <c r="A169" s="113"/>
      <c r="B169" s="99" t="s">
        <v>175</v>
      </c>
      <c r="C169" s="99"/>
      <c r="D169" s="99"/>
      <c r="E169" s="99"/>
      <c r="F169" s="114"/>
      <c r="G169" s="173">
        <f>SUM(G167:G168)</f>
        <v>0</v>
      </c>
      <c r="H169" s="64"/>
      <c r="I169" s="64"/>
    </row>
  </sheetData>
  <mergeCells count="74">
    <mergeCell ref="A28:A29"/>
    <mergeCell ref="B28:C28"/>
    <mergeCell ref="D28:E28"/>
    <mergeCell ref="B29:C29"/>
    <mergeCell ref="B23:F23"/>
    <mergeCell ref="D29:E29"/>
    <mergeCell ref="B25:F25"/>
    <mergeCell ref="B26:F26"/>
    <mergeCell ref="B27:F27"/>
    <mergeCell ref="A2:G2"/>
    <mergeCell ref="A3:G3"/>
    <mergeCell ref="A5:G5"/>
    <mergeCell ref="A6:G6"/>
    <mergeCell ref="B24:F24"/>
    <mergeCell ref="A16:B16"/>
    <mergeCell ref="E16:F16"/>
    <mergeCell ref="A17:B17"/>
    <mergeCell ref="E17:F17"/>
    <mergeCell ref="A22:F22"/>
    <mergeCell ref="B10:E10"/>
    <mergeCell ref="A14:B14"/>
    <mergeCell ref="E14:F14"/>
    <mergeCell ref="A15:B15"/>
    <mergeCell ref="E15:F15"/>
    <mergeCell ref="B11:E11"/>
    <mergeCell ref="B30:C30"/>
    <mergeCell ref="E30:F30"/>
    <mergeCell ref="A34:G34"/>
    <mergeCell ref="B36:E36"/>
    <mergeCell ref="B94:D94"/>
    <mergeCell ref="B57:E57"/>
    <mergeCell ref="B41:D41"/>
    <mergeCell ref="B43:E43"/>
    <mergeCell ref="A46:G46"/>
    <mergeCell ref="A49:G49"/>
    <mergeCell ref="B52:C52"/>
    <mergeCell ref="B50:C50"/>
    <mergeCell ref="D50:E50"/>
    <mergeCell ref="B42:E42"/>
    <mergeCell ref="C58:D58"/>
    <mergeCell ref="B95:D95"/>
    <mergeCell ref="A80:G80"/>
    <mergeCell ref="A92:E92"/>
    <mergeCell ref="B68:E68"/>
    <mergeCell ref="B69:E69"/>
    <mergeCell ref="B71:E71"/>
    <mergeCell ref="A79:G79"/>
    <mergeCell ref="A81:G81"/>
    <mergeCell ref="A90:G90"/>
    <mergeCell ref="B91:D91"/>
    <mergeCell ref="B93:D93"/>
    <mergeCell ref="B110:D110"/>
    <mergeCell ref="B111:D111"/>
    <mergeCell ref="B112:D112"/>
    <mergeCell ref="B113:D113"/>
    <mergeCell ref="B96:D96"/>
    <mergeCell ref="B109:D109"/>
    <mergeCell ref="B97:C97"/>
    <mergeCell ref="B98:D98"/>
    <mergeCell ref="B99:D99"/>
    <mergeCell ref="B100:D100"/>
    <mergeCell ref="B101:D101"/>
    <mergeCell ref="B102:C102"/>
    <mergeCell ref="B107:D107"/>
    <mergeCell ref="B108:D108"/>
    <mergeCell ref="B103:D103"/>
    <mergeCell ref="B116:F116"/>
    <mergeCell ref="B161:F161"/>
    <mergeCell ref="A121:G121"/>
    <mergeCell ref="B140:E140"/>
    <mergeCell ref="B141:E141"/>
    <mergeCell ref="A120:G120"/>
    <mergeCell ref="B117:E117"/>
    <mergeCell ref="B118:E118"/>
  </mergeCells>
  <dataValidations count="3">
    <dataValidation type="list" allowBlank="1" showInputMessage="1" showErrorMessage="1" sqref="F117 D97 D102 F10 F69:F77 F37 C39 F132:F135">
      <formula1>"Sim,Não"</formula1>
    </dataValidation>
    <dataValidation type="list" allowBlank="1" showInputMessage="1" showErrorMessage="1" sqref="F11">
      <formula1>"Normal,12X36"</formula1>
    </dataValidation>
    <dataValidation type="list" allowBlank="1" showInputMessage="1" showErrorMessage="1" errorTitle="VALORES INCORRETOS" error="Responder &quot;Sim&quot; ou &quot;Não&quot;" sqref="F43">
      <formula1>"Sim,Não"</formula1>
    </dataValidation>
  </dataValidations>
  <hyperlinks>
    <hyperlink ref="I107" r:id="rId1"/>
  </hyperlinks>
  <printOptions horizontalCentered="1"/>
  <pageMargins left="1.1811023622047245" right="0.39370078740157483" top="0.39370078740157483" bottom="0.39370078740157483" header="0.11811023622047245" footer="0.11811023622047245"/>
  <pageSetup paperSize="9" scale="82" fitToHeight="4" orientation="portrait" r:id="rId2"/>
  <headerFooter alignWithMargins="0">
    <oddFooter>&amp;LPág. &amp;P</oddFooter>
  </headerFooter>
  <rowBreaks count="4" manualBreakCount="4">
    <brk id="49" max="6" man="1"/>
    <brk id="89" max="6" man="1"/>
    <brk id="104" max="6" man="1"/>
    <brk id="137" max="6" man="1"/>
  </rowBreaks>
  <ignoredErrors>
    <ignoredError sqref="F52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showGridLines="0" tabSelected="1" topLeftCell="A134" zoomScale="130" zoomScaleNormal="130" zoomScaleSheetLayoutView="235" workbookViewId="0">
      <selection activeCell="B29" sqref="B29:C29"/>
    </sheetView>
  </sheetViews>
  <sheetFormatPr defaultColWidth="9.140625" defaultRowHeight="11.25" x14ac:dyDescent="0.15"/>
  <cols>
    <col min="1" max="1" width="5.85546875" style="1" customWidth="1"/>
    <col min="2" max="2" width="12.85546875" style="59" customWidth="1"/>
    <col min="3" max="4" width="8.85546875" style="51" customWidth="1"/>
    <col min="5" max="5" width="13" style="51" customWidth="1"/>
    <col min="6" max="6" width="12.140625" style="51" customWidth="1"/>
    <col min="7" max="7" width="18.28515625" style="2" customWidth="1"/>
    <col min="8" max="8" width="3.28515625" style="1" hidden="1" customWidth="1"/>
    <col min="9" max="9" width="8" style="1" hidden="1" customWidth="1"/>
    <col min="10" max="10" width="9.7109375" style="1" customWidth="1"/>
    <col min="11" max="12" width="9.140625" style="1" customWidth="1"/>
    <col min="13" max="13" width="10.28515625" style="1" customWidth="1"/>
    <col min="14" max="14" width="9.140625" style="1" customWidth="1"/>
    <col min="15" max="16384" width="9.140625" style="1"/>
  </cols>
  <sheetData>
    <row r="1" spans="1:8" ht="12.75" x14ac:dyDescent="0.2">
      <c r="H1"/>
    </row>
    <row r="2" spans="1:8" ht="18" x14ac:dyDescent="0.25">
      <c r="A2" s="570"/>
      <c r="B2" s="570"/>
      <c r="C2" s="570"/>
      <c r="D2" s="570"/>
      <c r="E2" s="570"/>
      <c r="F2" s="570"/>
      <c r="G2" s="570"/>
    </row>
    <row r="3" spans="1:8" ht="14.25" x14ac:dyDescent="0.2">
      <c r="A3" s="571"/>
      <c r="B3" s="571"/>
      <c r="C3" s="571"/>
      <c r="D3" s="571"/>
      <c r="E3" s="571"/>
      <c r="F3" s="571"/>
      <c r="G3" s="571"/>
    </row>
    <row r="4" spans="1:8" x14ac:dyDescent="0.15">
      <c r="B4" s="56"/>
      <c r="C4" s="5"/>
      <c r="D4" s="5"/>
      <c r="E4" s="5"/>
      <c r="F4" s="5"/>
      <c r="G4" s="3"/>
    </row>
    <row r="5" spans="1:8" s="4" customFormat="1" ht="15.75" x14ac:dyDescent="0.15">
      <c r="A5" s="572" t="s">
        <v>1</v>
      </c>
      <c r="B5" s="572"/>
      <c r="C5" s="572"/>
      <c r="D5" s="572"/>
      <c r="E5" s="572"/>
      <c r="F5" s="572"/>
      <c r="G5" s="572"/>
      <c r="H5" s="65"/>
    </row>
    <row r="6" spans="1:8" s="4" customFormat="1" ht="12.75" x14ac:dyDescent="0.15">
      <c r="A6" s="572" t="s">
        <v>276</v>
      </c>
      <c r="B6" s="572"/>
      <c r="C6" s="572"/>
      <c r="D6" s="572"/>
      <c r="E6" s="572"/>
      <c r="F6" s="572"/>
      <c r="G6" s="572"/>
    </row>
    <row r="7" spans="1:8" s="4" customFormat="1" ht="12.75" x14ac:dyDescent="0.15">
      <c r="A7" s="450"/>
      <c r="B7" s="450"/>
      <c r="C7" s="450"/>
      <c r="D7" s="450"/>
      <c r="E7" s="450"/>
      <c r="F7" s="450"/>
      <c r="G7" s="450"/>
    </row>
    <row r="8" spans="1:8" s="89" customFormat="1" ht="18" customHeight="1" x14ac:dyDescent="0.2">
      <c r="A8" s="228"/>
      <c r="B8" s="229"/>
      <c r="C8" s="228"/>
      <c r="D8" s="229"/>
      <c r="E8" s="124"/>
      <c r="F8" s="124"/>
      <c r="G8" s="88"/>
    </row>
    <row r="9" spans="1:8" s="89" customFormat="1" ht="18" customHeight="1" x14ac:dyDescent="0.2">
      <c r="A9" s="277" t="s">
        <v>266</v>
      </c>
      <c r="B9" s="229"/>
      <c r="C9" s="228"/>
      <c r="D9" s="229"/>
      <c r="E9" s="124"/>
      <c r="F9" s="124"/>
      <c r="G9" s="88"/>
    </row>
    <row r="10" spans="1:8" s="89" customFormat="1" ht="18" customHeight="1" x14ac:dyDescent="0.2">
      <c r="A10" s="452" t="s">
        <v>13</v>
      </c>
      <c r="B10" s="569" t="s">
        <v>200</v>
      </c>
      <c r="C10" s="569"/>
      <c r="D10" s="569"/>
      <c r="E10" s="569"/>
      <c r="F10" s="250" t="str">
        <f>PARAMETROS!C25</f>
        <v>Não</v>
      </c>
      <c r="G10" s="88"/>
    </row>
    <row r="11" spans="1:8" s="89" customFormat="1" ht="18" customHeight="1" x14ac:dyDescent="0.2">
      <c r="A11" s="452" t="s">
        <v>15</v>
      </c>
      <c r="B11" s="569" t="s">
        <v>227</v>
      </c>
      <c r="C11" s="569"/>
      <c r="D11" s="569"/>
      <c r="E11" s="569"/>
      <c r="F11" s="250" t="str">
        <f>PARAMETROS!C29</f>
        <v>Normal</v>
      </c>
      <c r="G11" s="88"/>
    </row>
    <row r="12" spans="1:8" s="89" customFormat="1" ht="18" customHeight="1" x14ac:dyDescent="0.2">
      <c r="A12" s="230"/>
      <c r="B12" s="232"/>
      <c r="C12" s="232"/>
      <c r="D12" s="232"/>
      <c r="E12" s="232"/>
      <c r="F12" s="124"/>
      <c r="G12" s="88"/>
    </row>
    <row r="13" spans="1:8" s="89" customFormat="1" ht="18" customHeight="1" x14ac:dyDescent="0.2">
      <c r="A13" s="277" t="s">
        <v>64</v>
      </c>
      <c r="B13" s="229"/>
      <c r="C13" s="228"/>
      <c r="D13" s="229"/>
      <c r="E13" s="124"/>
      <c r="F13" s="124"/>
      <c r="G13" s="88"/>
    </row>
    <row r="14" spans="1:8" s="89" customFormat="1" ht="32.450000000000003" customHeight="1" x14ac:dyDescent="0.2">
      <c r="A14" s="630" t="s">
        <v>65</v>
      </c>
      <c r="B14" s="630"/>
      <c r="C14" s="362" t="s">
        <v>66</v>
      </c>
      <c r="D14" s="452" t="s">
        <v>228</v>
      </c>
      <c r="E14" s="630" t="s">
        <v>67</v>
      </c>
      <c r="F14" s="630"/>
      <c r="G14" s="88"/>
    </row>
    <row r="15" spans="1:8" s="89" customFormat="1" ht="18" customHeight="1" x14ac:dyDescent="0.2">
      <c r="A15" s="628" t="str">
        <f>A6</f>
        <v>ANALISTA DE SISTEMAS – JUNIOR</v>
      </c>
      <c r="B15" s="628"/>
      <c r="C15" s="453" t="s">
        <v>294</v>
      </c>
      <c r="D15" s="453">
        <v>1</v>
      </c>
      <c r="E15" s="629">
        <v>1</v>
      </c>
      <c r="F15" s="629"/>
      <c r="G15" s="88"/>
    </row>
    <row r="16" spans="1:8" s="89" customFormat="1" ht="18" customHeight="1" x14ac:dyDescent="0.2">
      <c r="A16" s="628"/>
      <c r="B16" s="628"/>
      <c r="C16" s="363"/>
      <c r="D16" s="363"/>
      <c r="E16" s="629"/>
      <c r="F16" s="629"/>
      <c r="G16" s="88"/>
    </row>
    <row r="17" spans="1:9" s="89" customFormat="1" ht="18" customHeight="1" x14ac:dyDescent="0.2">
      <c r="A17" s="628"/>
      <c r="B17" s="628"/>
      <c r="C17" s="363"/>
      <c r="D17" s="363"/>
      <c r="E17" s="629"/>
      <c r="F17" s="629"/>
      <c r="G17" s="88"/>
    </row>
    <row r="18" spans="1:9" s="89" customFormat="1" ht="18" customHeight="1" x14ac:dyDescent="0.2">
      <c r="A18" s="123"/>
      <c r="B18" s="86"/>
      <c r="C18" s="86"/>
      <c r="D18" s="124"/>
      <c r="E18" s="124"/>
      <c r="F18" s="124"/>
      <c r="G18" s="88"/>
    </row>
    <row r="19" spans="1:9" s="89" customFormat="1" ht="18" customHeight="1" x14ac:dyDescent="0.2">
      <c r="A19" s="276" t="s">
        <v>193</v>
      </c>
      <c r="B19" s="86"/>
      <c r="C19" s="86"/>
      <c r="D19" s="124"/>
      <c r="E19" s="124"/>
      <c r="F19" s="124"/>
      <c r="G19" s="88"/>
    </row>
    <row r="20" spans="1:9" s="89" customFormat="1" ht="18" customHeight="1" x14ac:dyDescent="0.2">
      <c r="A20" s="123" t="s">
        <v>194</v>
      </c>
      <c r="B20" s="86"/>
      <c r="C20" s="86"/>
      <c r="D20" s="124"/>
      <c r="E20" s="124"/>
      <c r="F20" s="124"/>
      <c r="G20" s="88"/>
    </row>
    <row r="21" spans="1:9" s="89" customFormat="1" ht="18" customHeight="1" x14ac:dyDescent="0.2">
      <c r="A21" s="90" t="s">
        <v>195</v>
      </c>
      <c r="B21" s="86"/>
      <c r="C21" s="86"/>
      <c r="D21" s="87"/>
      <c r="E21" s="87"/>
      <c r="F21" s="87"/>
      <c r="G21" s="88"/>
    </row>
    <row r="22" spans="1:9" s="7" customFormat="1" ht="24" customHeight="1" x14ac:dyDescent="0.2">
      <c r="A22" s="508" t="s">
        <v>216</v>
      </c>
      <c r="B22" s="509"/>
      <c r="C22" s="509"/>
      <c r="D22" s="509"/>
      <c r="E22" s="509"/>
      <c r="F22" s="510"/>
      <c r="G22" s="67" t="str">
        <f>A6</f>
        <v>ANALISTA DE SISTEMAS – JUNIOR</v>
      </c>
    </row>
    <row r="23" spans="1:9" s="7" customFormat="1" ht="18" customHeight="1" x14ac:dyDescent="0.2">
      <c r="A23" s="178">
        <v>1</v>
      </c>
      <c r="B23" s="546" t="s">
        <v>71</v>
      </c>
      <c r="C23" s="546"/>
      <c r="D23" s="546"/>
      <c r="E23" s="546"/>
      <c r="F23" s="546"/>
      <c r="G23" s="189" t="str">
        <f>A15</f>
        <v>ANALISTA DE SISTEMAS – JUNIOR</v>
      </c>
    </row>
    <row r="24" spans="1:9" s="7" customFormat="1" ht="25.5" customHeight="1" x14ac:dyDescent="0.2">
      <c r="A24" s="178">
        <v>2</v>
      </c>
      <c r="B24" s="563" t="s">
        <v>201</v>
      </c>
      <c r="C24" s="564"/>
      <c r="D24" s="564"/>
      <c r="E24" s="564"/>
      <c r="F24" s="565"/>
      <c r="G24" s="119"/>
    </row>
    <row r="25" spans="1:9" s="7" customFormat="1" ht="18" customHeight="1" x14ac:dyDescent="0.2">
      <c r="A25" s="178">
        <f t="shared" ref="A25:A28" si="0">A24+1</f>
        <v>3</v>
      </c>
      <c r="B25" s="546" t="s">
        <v>74</v>
      </c>
      <c r="C25" s="546"/>
      <c r="D25" s="546"/>
      <c r="E25" s="546"/>
      <c r="F25" s="546"/>
      <c r="G25" s="189" t="str">
        <f>A15</f>
        <v>ANALISTA DE SISTEMAS – JUNIOR</v>
      </c>
    </row>
    <row r="26" spans="1:9" s="7" customFormat="1" ht="18" customHeight="1" x14ac:dyDescent="0.2">
      <c r="A26" s="178">
        <f t="shared" si="0"/>
        <v>4</v>
      </c>
      <c r="B26" s="546" t="s">
        <v>75</v>
      </c>
      <c r="C26" s="546"/>
      <c r="D26" s="546"/>
      <c r="E26" s="546"/>
      <c r="F26" s="546"/>
      <c r="G26" s="188">
        <v>44197</v>
      </c>
    </row>
    <row r="27" spans="1:9" s="7" customFormat="1" ht="18" customHeight="1" x14ac:dyDescent="0.2">
      <c r="A27" s="218">
        <f t="shared" si="0"/>
        <v>5</v>
      </c>
      <c r="B27" s="547" t="s">
        <v>76</v>
      </c>
      <c r="C27" s="547"/>
      <c r="D27" s="547"/>
      <c r="E27" s="547"/>
      <c r="F27" s="548"/>
      <c r="G27" s="233">
        <f>PARAMETROS!C23</f>
        <v>1212</v>
      </c>
    </row>
    <row r="28" spans="1:9" s="213" customFormat="1" ht="10.5" x14ac:dyDescent="0.2">
      <c r="A28" s="549">
        <f t="shared" si="0"/>
        <v>6</v>
      </c>
      <c r="B28" s="551" t="s">
        <v>77</v>
      </c>
      <c r="C28" s="552"/>
      <c r="D28" s="551" t="s">
        <v>223</v>
      </c>
      <c r="E28" s="552"/>
      <c r="F28" s="225" t="s">
        <v>215</v>
      </c>
      <c r="G28" s="212" t="s">
        <v>80</v>
      </c>
      <c r="I28" s="213" t="s">
        <v>81</v>
      </c>
    </row>
    <row r="29" spans="1:9" s="213" customFormat="1" ht="18.75" customHeight="1" x14ac:dyDescent="0.2">
      <c r="A29" s="550"/>
      <c r="B29" s="631">
        <f>PARAMETROS!C26</f>
        <v>0</v>
      </c>
      <c r="C29" s="632"/>
      <c r="D29" s="555">
        <f>IF(F11="12x36",0.03,0.06)</f>
        <v>0.06</v>
      </c>
      <c r="E29" s="556"/>
      <c r="F29" s="303">
        <f>PARAMETROS!C81</f>
        <v>20.92</v>
      </c>
      <c r="G29" s="443">
        <v>2</v>
      </c>
      <c r="H29" s="215" t="s">
        <v>82</v>
      </c>
      <c r="I29" s="213" t="s">
        <v>83</v>
      </c>
    </row>
    <row r="30" spans="1:9" s="7" customFormat="1" ht="18" customHeight="1" x14ac:dyDescent="0.2">
      <c r="A30" s="218">
        <f>A28+1</f>
        <v>7</v>
      </c>
      <c r="B30" s="557" t="s">
        <v>84</v>
      </c>
      <c r="C30" s="558"/>
      <c r="D30" s="219">
        <v>30</v>
      </c>
      <c r="E30" s="559" t="s">
        <v>85</v>
      </c>
      <c r="F30" s="560"/>
      <c r="G30" s="234">
        <f>ROUND(D30/6*30,0)</f>
        <v>150</v>
      </c>
    </row>
    <row r="31" spans="1:9" s="7" customFormat="1" ht="10.5" x14ac:dyDescent="0.2">
      <c r="A31" s="318"/>
      <c r="B31" s="321" t="s">
        <v>86</v>
      </c>
      <c r="C31" s="322"/>
      <c r="D31" s="323"/>
      <c r="E31" s="323"/>
      <c r="F31" s="324"/>
      <c r="G31" s="325"/>
      <c r="H31" s="209"/>
    </row>
    <row r="32" spans="1:9" s="7" customFormat="1" ht="10.5" x14ac:dyDescent="0.2">
      <c r="A32" s="326"/>
      <c r="B32" s="220" t="s">
        <v>87</v>
      </c>
      <c r="C32" s="208"/>
      <c r="D32" s="210"/>
      <c r="E32" s="210"/>
      <c r="F32" s="293"/>
      <c r="G32" s="327"/>
      <c r="H32" s="209"/>
    </row>
    <row r="33" spans="1:14" s="7" customFormat="1" ht="9" customHeight="1" x14ac:dyDescent="0.2">
      <c r="A33" s="122"/>
      <c r="B33" s="296"/>
      <c r="C33" s="447"/>
      <c r="D33" s="447"/>
      <c r="E33" s="447"/>
      <c r="F33" s="447"/>
      <c r="G33" s="117"/>
    </row>
    <row r="34" spans="1:14" s="89" customFormat="1" ht="30" customHeight="1" thickBot="1" x14ac:dyDescent="0.25">
      <c r="A34" s="614" t="s">
        <v>196</v>
      </c>
      <c r="B34" s="614"/>
      <c r="C34" s="614"/>
      <c r="D34" s="614"/>
      <c r="E34" s="615"/>
      <c r="F34" s="614"/>
      <c r="G34" s="614"/>
    </row>
    <row r="35" spans="1:14" s="7" customFormat="1" ht="18" customHeight="1" thickTop="1" thickBot="1" x14ac:dyDescent="0.25">
      <c r="A35" s="6" t="s">
        <v>10</v>
      </c>
      <c r="B35" s="62" t="s">
        <v>90</v>
      </c>
      <c r="C35" s="285"/>
      <c r="D35" s="285"/>
      <c r="E35" s="421" t="str">
        <f>"Regime: "&amp;F11</f>
        <v>Regime: Normal</v>
      </c>
      <c r="F35" s="19" t="s">
        <v>12</v>
      </c>
      <c r="G35" s="60" t="s">
        <v>47</v>
      </c>
    </row>
    <row r="36" spans="1:14" s="7" customFormat="1" ht="18" customHeight="1" thickTop="1" x14ac:dyDescent="0.2">
      <c r="A36" s="401" t="s">
        <v>13</v>
      </c>
      <c r="B36" s="616" t="s">
        <v>91</v>
      </c>
      <c r="C36" s="617"/>
      <c r="D36" s="617"/>
      <c r="E36" s="618"/>
      <c r="F36" s="402" t="s">
        <v>0</v>
      </c>
      <c r="G36" s="403">
        <f>G24</f>
        <v>0</v>
      </c>
    </row>
    <row r="37" spans="1:14" s="7" customFormat="1" ht="18" customHeight="1" x14ac:dyDescent="0.2">
      <c r="A37" s="350" t="s">
        <v>15</v>
      </c>
      <c r="B37" s="404" t="s">
        <v>92</v>
      </c>
      <c r="C37" s="405"/>
      <c r="D37" s="406" t="s">
        <v>238</v>
      </c>
      <c r="E37" s="406"/>
      <c r="F37" s="359" t="s">
        <v>8</v>
      </c>
      <c r="G37" s="353">
        <f>IF(F37="Sim",ROUND($G$36*MID(D37,17,2)/100,2),0)</f>
        <v>0</v>
      </c>
    </row>
    <row r="38" spans="1:14" s="7" customFormat="1" ht="18" customHeight="1" x14ac:dyDescent="0.2">
      <c r="A38" s="350" t="s">
        <v>17</v>
      </c>
      <c r="B38" s="404" t="s">
        <v>236</v>
      </c>
      <c r="C38" s="407"/>
      <c r="D38" s="406" t="s">
        <v>237</v>
      </c>
      <c r="E38" s="407"/>
      <c r="F38" s="408"/>
      <c r="G38" s="353">
        <f>ROUND($G$27*$F38,2)</f>
        <v>0</v>
      </c>
      <c r="N38" s="393"/>
    </row>
    <row r="39" spans="1:14" s="7" customFormat="1" ht="18" customHeight="1" x14ac:dyDescent="0.2">
      <c r="A39" s="350" t="s">
        <v>19</v>
      </c>
      <c r="B39" s="460" t="s">
        <v>257</v>
      </c>
      <c r="C39" s="418" t="s">
        <v>8</v>
      </c>
      <c r="D39" s="416" t="str">
        <f>IF(F39&gt;0,"("&amp;INT(F39)&amp;"h "&amp;ROUND((F39-INT(F39))*60,0)&amp;"min)=","")</f>
        <v/>
      </c>
      <c r="E39" s="420" t="str">
        <f>IF(F39&gt;0,"Quant. Horas 
normais (decimais) =","")</f>
        <v/>
      </c>
      <c r="F39" s="410"/>
      <c r="G39" s="411">
        <f>IF(AND(F11="12X36",C39="Sim"),ROUND(SUM(G36:G38)*(7/12)*0.2,2),ROUND((SUM(G36:G38)/G30)*0.2*F39,2))</f>
        <v>0</v>
      </c>
      <c r="M39" s="419"/>
      <c r="N39" s="393"/>
    </row>
    <row r="40" spans="1:14" s="7" customFormat="1" ht="18" customHeight="1" x14ac:dyDescent="0.2">
      <c r="A40" s="350" t="s">
        <v>21</v>
      </c>
      <c r="B40" s="414" t="s">
        <v>254</v>
      </c>
      <c r="C40" s="409"/>
      <c r="D40" s="412" t="str">
        <f>IF(F40&gt;0,"("&amp;INT(F40)&amp;"h "&amp;ROUND((F40-INT(F40))*60,0)&amp;"min)=","")</f>
        <v/>
      </c>
      <c r="E40" s="420" t="str">
        <f>IF(F40&gt;0,"Quant. Horas 
reduzidas (decimais)=","")</f>
        <v/>
      </c>
      <c r="F40" s="417">
        <f>IF(F39&gt;0,ROUND(((F39)*(8/7))-(F39),2),0)</f>
        <v>0</v>
      </c>
      <c r="G40" s="411">
        <f>ROUND((SUM(G36:G38)/G30)*0.2*F40,2)</f>
        <v>0</v>
      </c>
      <c r="M40" s="68"/>
      <c r="N40" s="394"/>
    </row>
    <row r="41" spans="1:14" s="7" customFormat="1" ht="18" customHeight="1" x14ac:dyDescent="0.2">
      <c r="A41" s="350" t="s">
        <v>23</v>
      </c>
      <c r="B41" s="619" t="s">
        <v>197</v>
      </c>
      <c r="C41" s="620"/>
      <c r="D41" s="620"/>
      <c r="E41" s="413"/>
      <c r="F41" s="351">
        <f>IF(ISNUMBER(E41),50%,0)</f>
        <v>0</v>
      </c>
      <c r="G41" s="352">
        <f>ROUND(SUM(G36:G40)/G30*1.5*E41,2)</f>
        <v>0</v>
      </c>
      <c r="M41" s="68"/>
      <c r="N41" s="394"/>
    </row>
    <row r="42" spans="1:14" s="7" customFormat="1" ht="18" customHeight="1" x14ac:dyDescent="0.2">
      <c r="A42" s="350"/>
      <c r="B42" s="625" t="s">
        <v>173</v>
      </c>
      <c r="C42" s="626"/>
      <c r="D42" s="626"/>
      <c r="E42" s="626"/>
      <c r="F42" s="351"/>
      <c r="G42" s="352">
        <f>SUM(G36:G41)</f>
        <v>0</v>
      </c>
    </row>
    <row r="43" spans="1:14" s="7" customFormat="1" ht="21.6" customHeight="1" x14ac:dyDescent="0.2">
      <c r="A43" s="360" t="s">
        <v>25</v>
      </c>
      <c r="B43" s="619" t="s">
        <v>229</v>
      </c>
      <c r="C43" s="620"/>
      <c r="D43" s="620"/>
      <c r="E43" s="620"/>
      <c r="F43" s="359" t="s">
        <v>8</v>
      </c>
      <c r="G43" s="353">
        <f>IF(F43="Sim",ROUND(SUM(G36:G38)/G30*1.5*F29,2),0)</f>
        <v>0</v>
      </c>
    </row>
    <row r="44" spans="1:14" s="7" customFormat="1" ht="21.6" customHeight="1" x14ac:dyDescent="0.2">
      <c r="A44" s="354" t="s">
        <v>27</v>
      </c>
      <c r="B44" s="355" t="s">
        <v>51</v>
      </c>
      <c r="C44" s="356"/>
      <c r="D44" s="356"/>
      <c r="E44" s="356"/>
      <c r="F44" s="357"/>
      <c r="G44" s="358"/>
    </row>
    <row r="45" spans="1:14" s="7" customFormat="1" ht="18" customHeight="1" x14ac:dyDescent="0.2">
      <c r="A45" s="13"/>
      <c r="B45" s="23" t="s">
        <v>29</v>
      </c>
      <c r="C45" s="52"/>
      <c r="D45" s="52"/>
      <c r="E45" s="52"/>
      <c r="F45" s="24"/>
      <c r="G45" s="160">
        <f>SUM(G42:G44)</f>
        <v>0</v>
      </c>
    </row>
    <row r="46" spans="1:14" x14ac:dyDescent="0.15">
      <c r="A46" s="531" t="s">
        <v>30</v>
      </c>
      <c r="B46" s="513"/>
      <c r="C46" s="513"/>
      <c r="D46" s="513"/>
      <c r="E46" s="513"/>
      <c r="F46" s="513"/>
      <c r="G46" s="532"/>
    </row>
    <row r="47" spans="1:14" s="116" customFormat="1" ht="9" x14ac:dyDescent="0.15">
      <c r="A47" s="348"/>
      <c r="B47" s="361"/>
      <c r="C47" s="348"/>
      <c r="D47" s="348"/>
      <c r="E47" s="348"/>
      <c r="F47" s="348"/>
      <c r="G47" s="348"/>
    </row>
    <row r="48" spans="1:14" s="18" customFormat="1" ht="18" customHeight="1" x14ac:dyDescent="0.15">
      <c r="A48" s="15"/>
      <c r="B48" s="57"/>
      <c r="C48" s="16"/>
      <c r="D48" s="16"/>
      <c r="E48" s="16"/>
      <c r="F48" s="16"/>
      <c r="G48" s="17"/>
    </row>
    <row r="49" spans="1:16" s="89" customFormat="1" ht="25.5" customHeight="1" x14ac:dyDescent="0.2">
      <c r="A49" s="614" t="s">
        <v>207</v>
      </c>
      <c r="B49" s="614"/>
      <c r="C49" s="614"/>
      <c r="D49" s="614"/>
      <c r="E49" s="614"/>
      <c r="F49" s="614"/>
      <c r="G49" s="614"/>
    </row>
    <row r="50" spans="1:16" s="18" customFormat="1" ht="25.5" customHeight="1" x14ac:dyDescent="0.15">
      <c r="A50" s="29" t="s">
        <v>98</v>
      </c>
      <c r="B50" s="517" t="s">
        <v>99</v>
      </c>
      <c r="C50" s="517"/>
      <c r="D50" s="623" t="str">
        <f>"Conta Vinculada? "&amp;PARAMETROS!$C$27</f>
        <v>Conta Vinculada? Sim</v>
      </c>
      <c r="E50" s="624"/>
      <c r="F50" s="19" t="s">
        <v>12</v>
      </c>
      <c r="G50" s="60" t="s">
        <v>47</v>
      </c>
    </row>
    <row r="51" spans="1:16" s="18" customFormat="1" ht="18" customHeight="1" x14ac:dyDescent="0.15">
      <c r="A51" s="8" t="s">
        <v>13</v>
      </c>
      <c r="B51" s="448" t="s">
        <v>222</v>
      </c>
      <c r="C51" s="339" t="s">
        <v>255</v>
      </c>
      <c r="D51" s="449"/>
      <c r="E51" s="449"/>
      <c r="F51" s="53">
        <f>1/12</f>
        <v>8.3333333333333329E-2</v>
      </c>
      <c r="G51" s="32">
        <f>ROUND($G$42*F51,2)</f>
        <v>0</v>
      </c>
      <c r="K51" s="64"/>
      <c r="N51" s="64"/>
      <c r="O51" s="64"/>
      <c r="P51" s="64"/>
    </row>
    <row r="52" spans="1:16" s="18" customFormat="1" ht="18" customHeight="1" x14ac:dyDescent="0.15">
      <c r="A52" s="299" t="s">
        <v>15</v>
      </c>
      <c r="B52" s="621" t="s">
        <v>206</v>
      </c>
      <c r="C52" s="622"/>
      <c r="D52" s="347" t="s">
        <v>199</v>
      </c>
      <c r="E52" s="346" t="str">
        <f>$F$10</f>
        <v>Não</v>
      </c>
      <c r="F52" s="367" t="str">
        <f>"Σ="&amp;FIXED(SUM(F53:F54)*100,2)&amp;"%"</f>
        <v>Σ=12,10%</v>
      </c>
      <c r="G52" s="368" t="str">
        <f>"Σ="&amp;FIXED(SUM(G53:G54),2)</f>
        <v>Σ=0,00</v>
      </c>
      <c r="O52" s="255"/>
    </row>
    <row r="53" spans="1:16" s="18" customFormat="1" ht="11.45" customHeight="1" x14ac:dyDescent="0.15">
      <c r="A53" s="10" t="s">
        <v>191</v>
      </c>
      <c r="B53" s="451" t="s">
        <v>204</v>
      </c>
      <c r="C53" s="302" t="str">
        <f>IF(RIGHT(D50,3)="Sim","(1÷11) =","(1÷12) =")</f>
        <v>(1÷11) =</v>
      </c>
      <c r="D53" s="297">
        <f>IF(E52="Sim","Prorrogado. Férias submódulo 4.1.A",IF(RIGHT(D50,3)="Sim",1/11,1/12))</f>
        <v>9.0909090909090912E-2</v>
      </c>
      <c r="E53" s="298"/>
      <c r="F53" s="312">
        <f>IF(E52="Sim",0,IF(RIGHT(D50,3)="Sim",0.09075,D53))</f>
        <v>9.0749999999999997E-2</v>
      </c>
      <c r="G53" s="33">
        <f>ROUND($G$42*F53,2)</f>
        <v>0</v>
      </c>
      <c r="N53" s="349"/>
      <c r="O53" s="255"/>
    </row>
    <row r="54" spans="1:16" s="18" customFormat="1" ht="11.45" customHeight="1" x14ac:dyDescent="0.15">
      <c r="A54" s="177" t="s">
        <v>192</v>
      </c>
      <c r="B54" s="300" t="s">
        <v>205</v>
      </c>
      <c r="C54" s="45"/>
      <c r="D54" s="302" t="str">
        <f>IF(RIGHT(D50,3)="Sim","(1÷3÷11) =","(1÷3÷12) =")</f>
        <v>(1÷3÷11) =</v>
      </c>
      <c r="E54" s="301">
        <f>IF(RIGHT(D50,3)="Sim",1/3/11,1/3/12)</f>
        <v>3.03030303030303E-2</v>
      </c>
      <c r="F54" s="313">
        <f>IF(RIGHT(D50,3)="Sim",0.03025,E54)</f>
        <v>3.0249999999999999E-2</v>
      </c>
      <c r="G54" s="33">
        <f>ROUND($G$42*F54,2)</f>
        <v>0</v>
      </c>
      <c r="K54" s="64"/>
      <c r="O54" s="255"/>
    </row>
    <row r="55" spans="1:16" s="237" customFormat="1" ht="18" customHeight="1" x14ac:dyDescent="0.15">
      <c r="A55" s="238"/>
      <c r="B55" s="239" t="s">
        <v>101</v>
      </c>
      <c r="C55" s="239"/>
      <c r="D55" s="239"/>
      <c r="E55" s="239"/>
      <c r="F55" s="240">
        <f>SUM(F51:F54)</f>
        <v>0.20433333333333331</v>
      </c>
      <c r="G55" s="241">
        <f>SUM(G51:G54)</f>
        <v>0</v>
      </c>
    </row>
    <row r="56" spans="1:16" s="18" customFormat="1" ht="16.149999999999999" customHeight="1" x14ac:dyDescent="0.15">
      <c r="A56" s="444"/>
      <c r="B56" s="444"/>
      <c r="C56" s="444"/>
      <c r="D56" s="444"/>
      <c r="E56" s="444"/>
      <c r="F56" s="444"/>
      <c r="G56" s="444"/>
    </row>
    <row r="57" spans="1:16" s="18" customFormat="1" ht="40.5" customHeight="1" x14ac:dyDescent="0.15">
      <c r="A57" s="28" t="s">
        <v>102</v>
      </c>
      <c r="B57" s="536" t="s">
        <v>256</v>
      </c>
      <c r="C57" s="536"/>
      <c r="D57" s="536"/>
      <c r="E57" s="536"/>
      <c r="F57" s="303" t="str">
        <f>"Optante do Simples? "&amp;PARAMETROS!C28</f>
        <v>Optante do Simples? Não</v>
      </c>
      <c r="G57" s="60" t="s">
        <v>47</v>
      </c>
      <c r="N57" s="349"/>
    </row>
    <row r="58" spans="1:16" s="18" customFormat="1" ht="18" customHeight="1" x14ac:dyDescent="0.15">
      <c r="A58" s="8" t="s">
        <v>13</v>
      </c>
      <c r="B58" s="448" t="s">
        <v>14</v>
      </c>
      <c r="C58" s="627" t="s">
        <v>200</v>
      </c>
      <c r="D58" s="627"/>
      <c r="E58" s="422" t="str">
        <f>$F$10</f>
        <v>Não</v>
      </c>
      <c r="F58" s="335">
        <f>PARAMETROS!C33</f>
        <v>0.2</v>
      </c>
      <c r="G58" s="33">
        <f t="shared" ref="G58:G65" si="1">IF($E$58="Não",ROUND(($G$42+$G$51)*SUM(F58),2),ROUND(($G$42+$G$51+$G$54)*SUM(F58),2))</f>
        <v>0</v>
      </c>
      <c r="M58" s="64"/>
      <c r="O58" s="64"/>
    </row>
    <row r="59" spans="1:16" s="18" customFormat="1" ht="18" customHeight="1" x14ac:dyDescent="0.15">
      <c r="A59" s="10" t="s">
        <v>15</v>
      </c>
      <c r="B59" s="446" t="s">
        <v>16</v>
      </c>
      <c r="C59" s="447"/>
      <c r="D59" s="320" t="s">
        <v>208</v>
      </c>
      <c r="E59" s="340" t="s">
        <v>221</v>
      </c>
      <c r="F59" s="336">
        <f>IF(RIGHT($F$57,3)="Sim","",PARAMETROS!C34)</f>
        <v>2.5000000000000001E-2</v>
      </c>
      <c r="G59" s="33">
        <f t="shared" si="1"/>
        <v>0</v>
      </c>
    </row>
    <row r="60" spans="1:16" s="18" customFormat="1" ht="18" customHeight="1" x14ac:dyDescent="0.15">
      <c r="A60" s="10" t="s">
        <v>17</v>
      </c>
      <c r="B60" s="446" t="s">
        <v>220</v>
      </c>
      <c r="C60" s="447"/>
      <c r="D60" s="341">
        <v>0.03</v>
      </c>
      <c r="E60" s="342">
        <v>0.01</v>
      </c>
      <c r="F60" s="336">
        <f>D60*E60*100</f>
        <v>0.03</v>
      </c>
      <c r="G60" s="33">
        <f t="shared" si="1"/>
        <v>0</v>
      </c>
    </row>
    <row r="61" spans="1:16" s="18" customFormat="1" ht="18" customHeight="1" x14ac:dyDescent="0.15">
      <c r="A61" s="10" t="s">
        <v>19</v>
      </c>
      <c r="B61" s="446" t="s">
        <v>20</v>
      </c>
      <c r="C61" s="447"/>
      <c r="D61" s="447"/>
      <c r="E61" s="447"/>
      <c r="F61" s="336">
        <f>IF(RIGHT($F$57,3)="Sim","",PARAMETROS!C36)</f>
        <v>1.4999999999999999E-2</v>
      </c>
      <c r="G61" s="33">
        <f t="shared" si="1"/>
        <v>0</v>
      </c>
    </row>
    <row r="62" spans="1:16" s="18" customFormat="1" ht="18" customHeight="1" x14ac:dyDescent="0.15">
      <c r="A62" s="10" t="s">
        <v>21</v>
      </c>
      <c r="B62" s="446" t="s">
        <v>22</v>
      </c>
      <c r="E62" s="447"/>
      <c r="F62" s="336">
        <f>IF(RIGHT($F$57,3)="Sim","",PARAMETROS!C37)</f>
        <v>0.01</v>
      </c>
      <c r="G62" s="33">
        <f t="shared" si="1"/>
        <v>0</v>
      </c>
    </row>
    <row r="63" spans="1:16" s="18" customFormat="1" ht="18" customHeight="1" x14ac:dyDescent="0.15">
      <c r="A63" s="10" t="s">
        <v>23</v>
      </c>
      <c r="B63" s="446" t="s">
        <v>24</v>
      </c>
      <c r="C63" s="447"/>
      <c r="D63" s="447"/>
      <c r="E63" s="447"/>
      <c r="F63" s="336">
        <f>IF(RIGHT($F$57,3)="Sim","",PARAMETROS!C38)</f>
        <v>6.0000000000000001E-3</v>
      </c>
      <c r="G63" s="33">
        <f t="shared" si="1"/>
        <v>0</v>
      </c>
    </row>
    <row r="64" spans="1:16" s="18" customFormat="1" ht="18" customHeight="1" x14ac:dyDescent="0.15">
      <c r="A64" s="10" t="s">
        <v>25</v>
      </c>
      <c r="B64" s="446" t="s">
        <v>26</v>
      </c>
      <c r="C64" s="447"/>
      <c r="D64" s="447"/>
      <c r="E64" s="447"/>
      <c r="F64" s="336">
        <f>IF(RIGHT($F$57,3)="Sim","",PARAMETROS!C39)</f>
        <v>2E-3</v>
      </c>
      <c r="G64" s="33">
        <f t="shared" si="1"/>
        <v>0</v>
      </c>
    </row>
    <row r="65" spans="1:15" s="18" customFormat="1" ht="18" customHeight="1" x14ac:dyDescent="0.15">
      <c r="A65" s="177" t="s">
        <v>27</v>
      </c>
      <c r="B65" s="273" t="s">
        <v>28</v>
      </c>
      <c r="C65" s="274"/>
      <c r="D65" s="274"/>
      <c r="E65" s="274"/>
      <c r="F65" s="337">
        <f>PARAMETROS!C40</f>
        <v>0.08</v>
      </c>
      <c r="G65" s="33">
        <f t="shared" si="1"/>
        <v>0</v>
      </c>
    </row>
    <row r="66" spans="1:15" s="18" customFormat="1" ht="18" customHeight="1" x14ac:dyDescent="0.15">
      <c r="A66" s="318"/>
      <c r="B66" s="320" t="s">
        <v>101</v>
      </c>
      <c r="C66" s="319"/>
      <c r="D66" s="319"/>
      <c r="E66" s="319"/>
      <c r="F66" s="338">
        <f>SUM(F58:F65)</f>
        <v>0.36800000000000005</v>
      </c>
      <c r="G66" s="9">
        <f>SUM(G58:G65)</f>
        <v>0</v>
      </c>
    </row>
    <row r="67" spans="1:15" s="18" customFormat="1" ht="15" customHeight="1" x14ac:dyDescent="0.15">
      <c r="E67" s="364"/>
    </row>
    <row r="68" spans="1:15" s="18" customFormat="1" ht="25.5" customHeight="1" x14ac:dyDescent="0.15">
      <c r="A68" s="29" t="s">
        <v>32</v>
      </c>
      <c r="B68" s="509" t="s">
        <v>104</v>
      </c>
      <c r="C68" s="509"/>
      <c r="D68" s="509"/>
      <c r="E68" s="509"/>
      <c r="F68" s="303" t="s">
        <v>232</v>
      </c>
      <c r="G68" s="60" t="s">
        <v>47</v>
      </c>
      <c r="N68" s="364"/>
    </row>
    <row r="69" spans="1:15" s="7" customFormat="1" ht="30" customHeight="1" x14ac:dyDescent="0.2">
      <c r="A69" s="401" t="s">
        <v>13</v>
      </c>
      <c r="B69" s="604" t="s">
        <v>230</v>
      </c>
      <c r="C69" s="605"/>
      <c r="D69" s="605"/>
      <c r="E69" s="605"/>
      <c r="F69" s="454" t="s">
        <v>139</v>
      </c>
      <c r="G69" s="455">
        <f>ROUND(IF((G24*D29)&gt;(B29*F29*G29),B29*F29*G29,(B29*F29*G29)-(G24*D29)),2)</f>
        <v>0</v>
      </c>
      <c r="H69" s="68" t="s">
        <v>106</v>
      </c>
      <c r="I69" s="68"/>
      <c r="N69" s="365"/>
    </row>
    <row r="70" spans="1:15" s="7" customFormat="1" ht="18" customHeight="1" x14ac:dyDescent="0.2">
      <c r="A70" s="350" t="s">
        <v>15</v>
      </c>
      <c r="B70" s="456" t="str">
        <f>PARAMETROS!B47</f>
        <v>Auxílio alimentação (Vales, cesta básica etc.) - 11ª</v>
      </c>
      <c r="C70" s="457"/>
      <c r="D70" s="457"/>
      <c r="E70" s="457"/>
      <c r="F70" s="458" t="s">
        <v>139</v>
      </c>
      <c r="G70" s="459">
        <f>PARAMETROS!C47</f>
        <v>0</v>
      </c>
      <c r="H70" s="68" t="s">
        <v>107</v>
      </c>
      <c r="I70" s="68">
        <f>B29*G29*22</f>
        <v>0</v>
      </c>
      <c r="K70" s="68"/>
      <c r="L70" s="68"/>
      <c r="O70" s="68"/>
    </row>
    <row r="71" spans="1:15" s="7" customFormat="1" ht="18" customHeight="1" x14ac:dyDescent="0.2">
      <c r="A71" s="350" t="s">
        <v>17</v>
      </c>
      <c r="B71" s="606" t="str">
        <f>PARAMETROS!B48</f>
        <v>Auxílio Morte/Funeral (1 sal.x3%÷12x3 = 0,0075) - 13ª</v>
      </c>
      <c r="C71" s="607"/>
      <c r="D71" s="607"/>
      <c r="E71" s="608"/>
      <c r="F71" s="458"/>
      <c r="G71" s="461">
        <f>ROUND(PARAMETROS!C48*G24,2)</f>
        <v>0</v>
      </c>
      <c r="H71" s="68" t="s">
        <v>108</v>
      </c>
      <c r="I71" s="68">
        <f>G24*0.06</f>
        <v>0</v>
      </c>
      <c r="J71" s="68"/>
    </row>
    <row r="72" spans="1:15" s="7" customFormat="1" ht="18" customHeight="1" x14ac:dyDescent="0.2">
      <c r="A72" s="350" t="s">
        <v>19</v>
      </c>
      <c r="B72" s="456" t="str">
        <f>PARAMETROS!B49</f>
        <v>Treinamento (Prog. Qual. Trabalhador) - 21ª</v>
      </c>
      <c r="C72" s="457"/>
      <c r="D72" s="457"/>
      <c r="E72" s="457"/>
      <c r="F72" s="458"/>
      <c r="G72" s="459">
        <f>PARAMETROS!C49</f>
        <v>0</v>
      </c>
    </row>
    <row r="73" spans="1:15" s="7" customFormat="1" ht="18" customHeight="1" x14ac:dyDescent="0.2">
      <c r="A73" s="350" t="s">
        <v>21</v>
      </c>
      <c r="B73" s="456" t="str">
        <f>PARAMETROS!B50</f>
        <v>EPI's (R$ 7,00) - 22ª</v>
      </c>
      <c r="C73" s="457"/>
      <c r="D73" s="457"/>
      <c r="E73" s="457"/>
      <c r="F73" s="458"/>
      <c r="G73" s="459">
        <f>PARAMETROS!C50</f>
        <v>0</v>
      </c>
    </row>
    <row r="74" spans="1:15" s="7" customFormat="1" ht="18" customHeight="1" x14ac:dyDescent="0.2">
      <c r="A74" s="350" t="s">
        <v>23</v>
      </c>
      <c r="B74" s="456" t="str">
        <f>PARAMETROS!B51</f>
        <v>Seguro de vida e acidente trabalho - 24ª</v>
      </c>
      <c r="C74" s="457"/>
      <c r="D74" s="457"/>
      <c r="E74" s="457"/>
      <c r="F74" s="458"/>
      <c r="G74" s="459">
        <f>PARAMETROS!C51</f>
        <v>0</v>
      </c>
    </row>
    <row r="75" spans="1:15" s="7" customFormat="1" ht="18" customHeight="1" x14ac:dyDescent="0.2">
      <c r="A75" s="350" t="s">
        <v>25</v>
      </c>
      <c r="B75" s="456" t="str">
        <f>PARAMETROS!B52</f>
        <v>PCMSO, PPRA e CIPA - 33ª</v>
      </c>
      <c r="C75" s="457"/>
      <c r="D75" s="457"/>
      <c r="E75" s="457"/>
      <c r="F75" s="458"/>
      <c r="G75" s="459">
        <f>PARAMETROS!C52</f>
        <v>0</v>
      </c>
    </row>
    <row r="76" spans="1:15" s="7" customFormat="1" ht="18" customHeight="1" x14ac:dyDescent="0.2">
      <c r="A76" s="350" t="s">
        <v>27</v>
      </c>
      <c r="B76" s="456" t="str">
        <f>PARAMETROS!B53</f>
        <v>Estojo primeiros socorros (R$ 4,00 por empregado) - 36ª</v>
      </c>
      <c r="C76" s="457"/>
      <c r="D76" s="457"/>
      <c r="E76" s="457"/>
      <c r="F76" s="458" t="s">
        <v>139</v>
      </c>
      <c r="G76" s="459">
        <f>PARAMETROS!C53</f>
        <v>0</v>
      </c>
    </row>
    <row r="77" spans="1:15" s="7" customFormat="1" ht="18" customHeight="1" x14ac:dyDescent="0.2">
      <c r="A77" s="354" t="s">
        <v>10</v>
      </c>
      <c r="B77" s="462" t="str">
        <f>PARAMETROS!B54</f>
        <v/>
      </c>
      <c r="C77" s="463"/>
      <c r="D77" s="463"/>
      <c r="E77" s="463"/>
      <c r="F77" s="464"/>
      <c r="G77" s="465">
        <f>PARAMETROS!C54</f>
        <v>0</v>
      </c>
    </row>
    <row r="78" spans="1:15" s="7" customFormat="1" ht="18" customHeight="1" x14ac:dyDescent="0.2">
      <c r="A78" s="150"/>
      <c r="B78" s="151" t="s">
        <v>29</v>
      </c>
      <c r="C78" s="152"/>
      <c r="D78" s="152"/>
      <c r="E78" s="152"/>
      <c r="F78" s="241">
        <f>SUMIF(F69:F77,"Sim",G69:G77)</f>
        <v>0</v>
      </c>
      <c r="G78" s="9">
        <f>SUM(G69:G77)</f>
        <v>0</v>
      </c>
    </row>
    <row r="79" spans="1:15" s="18" customFormat="1" ht="10.5" x14ac:dyDescent="0.15">
      <c r="A79" s="503" t="s">
        <v>43</v>
      </c>
      <c r="B79" s="487"/>
      <c r="C79" s="487"/>
      <c r="D79" s="487"/>
      <c r="E79" s="487"/>
      <c r="F79" s="487"/>
      <c r="G79" s="504"/>
    </row>
    <row r="80" spans="1:15" s="18" customFormat="1" ht="17.45" customHeight="1" x14ac:dyDescent="0.15">
      <c r="A80" s="599" t="s">
        <v>44</v>
      </c>
      <c r="B80" s="488"/>
      <c r="C80" s="488"/>
      <c r="D80" s="488"/>
      <c r="E80" s="488"/>
      <c r="F80" s="488"/>
      <c r="G80" s="600"/>
    </row>
    <row r="81" spans="1:14" s="18" customFormat="1" ht="10.15" customHeight="1" x14ac:dyDescent="0.15">
      <c r="A81" s="609" t="s">
        <v>231</v>
      </c>
      <c r="B81" s="610"/>
      <c r="C81" s="610"/>
      <c r="D81" s="610"/>
      <c r="E81" s="610"/>
      <c r="F81" s="610"/>
      <c r="G81" s="611"/>
    </row>
    <row r="82" spans="1:14" s="18" customFormat="1" ht="24" customHeight="1" x14ac:dyDescent="0.15">
      <c r="A82" s="70"/>
      <c r="B82" s="70"/>
      <c r="C82" s="70"/>
      <c r="D82" s="70"/>
      <c r="E82" s="70"/>
      <c r="F82" s="70"/>
      <c r="G82" s="70"/>
    </row>
    <row r="83" spans="1:14" s="133" customFormat="1" ht="24" customHeight="1" x14ac:dyDescent="0.15">
      <c r="A83" s="195" t="s">
        <v>109</v>
      </c>
      <c r="B83" s="196"/>
      <c r="C83" s="197"/>
      <c r="D83" s="197"/>
      <c r="E83" s="197"/>
      <c r="F83" s="197"/>
      <c r="G83" s="198"/>
    </row>
    <row r="84" spans="1:14" s="134" customFormat="1" ht="24" customHeight="1" x14ac:dyDescent="0.15">
      <c r="A84" s="199">
        <v>2</v>
      </c>
      <c r="B84" s="200" t="s">
        <v>110</v>
      </c>
      <c r="C84" s="201"/>
      <c r="D84" s="201"/>
      <c r="E84" s="201"/>
      <c r="F84" s="201"/>
      <c r="G84" s="202"/>
    </row>
    <row r="85" spans="1:14" s="133" customFormat="1" ht="24" customHeight="1" x14ac:dyDescent="0.15">
      <c r="A85" s="178" t="s">
        <v>98</v>
      </c>
      <c r="B85" s="196" t="s">
        <v>111</v>
      </c>
      <c r="C85" s="197"/>
      <c r="D85" s="197"/>
      <c r="E85" s="197"/>
      <c r="F85" s="434"/>
      <c r="G85" s="203">
        <f>G55</f>
        <v>0</v>
      </c>
    </row>
    <row r="86" spans="1:14" s="133" customFormat="1" ht="24" customHeight="1" x14ac:dyDescent="0.15">
      <c r="A86" s="178" t="s">
        <v>102</v>
      </c>
      <c r="B86" s="196" t="s">
        <v>112</v>
      </c>
      <c r="C86" s="197"/>
      <c r="D86" s="197"/>
      <c r="E86" s="197"/>
      <c r="F86" s="434"/>
      <c r="G86" s="203">
        <f>G66</f>
        <v>0</v>
      </c>
    </row>
    <row r="87" spans="1:14" s="133" customFormat="1" ht="24" customHeight="1" x14ac:dyDescent="0.15">
      <c r="A87" s="178" t="s">
        <v>32</v>
      </c>
      <c r="B87" s="196" t="s">
        <v>113</v>
      </c>
      <c r="C87" s="197"/>
      <c r="D87" s="197"/>
      <c r="E87" s="197"/>
      <c r="F87" s="434"/>
      <c r="G87" s="203">
        <f>G78</f>
        <v>0</v>
      </c>
    </row>
    <row r="88" spans="1:14" s="133" customFormat="1" ht="18" customHeight="1" x14ac:dyDescent="0.15">
      <c r="A88" s="204"/>
      <c r="B88" s="205" t="s">
        <v>114</v>
      </c>
      <c r="C88" s="205"/>
      <c r="D88" s="206" t="s">
        <v>101</v>
      </c>
      <c r="E88" s="205"/>
      <c r="F88" s="435"/>
      <c r="G88" s="31">
        <f>SUM(G85:G87)</f>
        <v>0</v>
      </c>
    </row>
    <row r="89" spans="1:14" s="18" customFormat="1" ht="12.75" customHeight="1" x14ac:dyDescent="0.15">
      <c r="A89" s="25"/>
      <c r="B89" s="58"/>
      <c r="C89" s="26"/>
      <c r="D89" s="26"/>
      <c r="E89" s="26"/>
      <c r="F89" s="26"/>
      <c r="G89" s="27"/>
      <c r="N89" s="317"/>
    </row>
    <row r="90" spans="1:14" s="89" customFormat="1" ht="40.15" customHeight="1" x14ac:dyDescent="0.2">
      <c r="A90" s="612" t="s">
        <v>233</v>
      </c>
      <c r="B90" s="612"/>
      <c r="C90" s="612"/>
      <c r="D90" s="612"/>
      <c r="E90" s="612"/>
      <c r="F90" s="612"/>
      <c r="G90" s="612"/>
    </row>
    <row r="91" spans="1:14" s="18" customFormat="1" ht="28.9" customHeight="1" x14ac:dyDescent="0.15">
      <c r="A91" s="28">
        <v>3</v>
      </c>
      <c r="B91" s="517" t="str">
        <f>IF(F10="Sim","Submódulo - Provisão para Rescisão - PRORROGADO", "Submódulo - Provisão para Rescisão")</f>
        <v>Submódulo - Provisão para Rescisão</v>
      </c>
      <c r="C91" s="517"/>
      <c r="D91" s="517"/>
      <c r="E91" s="67" t="s">
        <v>117</v>
      </c>
      <c r="F91" s="155" t="s">
        <v>118</v>
      </c>
      <c r="G91" s="392" t="str">
        <f>PARAMETROS!B27&amp;" "&amp;PARAMETROS!C27</f>
        <v>Conta Vinculada? Sim</v>
      </c>
      <c r="K91" s="364"/>
    </row>
    <row r="92" spans="1:14" s="18" customFormat="1" ht="18" customHeight="1" x14ac:dyDescent="0.15">
      <c r="A92" s="601" t="s">
        <v>234</v>
      </c>
      <c r="B92" s="602"/>
      <c r="C92" s="602"/>
      <c r="D92" s="602"/>
      <c r="E92" s="603"/>
      <c r="F92" s="72">
        <v>0</v>
      </c>
      <c r="G92" s="391" t="s">
        <v>47</v>
      </c>
    </row>
    <row r="93" spans="1:14" s="18" customFormat="1" ht="31.9" customHeight="1" x14ac:dyDescent="0.15">
      <c r="A93" s="8" t="s">
        <v>13</v>
      </c>
      <c r="B93" s="518" t="str">
        <f>"Aviso prévio indenizado (probabilidade utilizada = "&amp;(F93*100)&amp;"%)."</f>
        <v>Aviso prévio indenizado (probabilidade utilizada = 5,55%).</v>
      </c>
      <c r="C93" s="519"/>
      <c r="D93" s="613"/>
      <c r="E93" s="343">
        <f>(((1+(1/12)+(1/12)+(1/12/3))*F93)+(((1/30)*3*1)*F92     ))/12</f>
        <v>5.524305555555554E-3</v>
      </c>
      <c r="F93" s="72">
        <v>5.5500000000000001E-2</v>
      </c>
      <c r="G93" s="32">
        <f>ROUND(((SUM(($G$42+($G$42/12)+($G$42/12)+($G$42/12/3)))*F93)+(($G$42/30*3*1)*F92))/12,2)</f>
        <v>0</v>
      </c>
      <c r="H93" s="66"/>
      <c r="I93" s="64"/>
      <c r="K93" s="256"/>
      <c r="M93" s="64"/>
      <c r="N93" s="64">
        <f>M93/12</f>
        <v>0</v>
      </c>
    </row>
    <row r="94" spans="1:14" s="18" customFormat="1" ht="37.9" customHeight="1" x14ac:dyDescent="0.15">
      <c r="A94" s="10" t="s">
        <v>15</v>
      </c>
      <c r="B94" s="496" t="s">
        <v>119</v>
      </c>
      <c r="C94" s="497"/>
      <c r="D94" s="585"/>
      <c r="E94" s="344">
        <f>(((1+(1/12))*F93)+(((1/30)*3*1)*F92    ))/12*F94</f>
        <v>4.0083333333333334E-4</v>
      </c>
      <c r="F94" s="53">
        <f>IF(F93&gt;0,F65,0)</f>
        <v>0.08</v>
      </c>
      <c r="G94" s="33">
        <f>ROUND(((SUM(G42+G51)*F93)+((G42/30)*3*1)*F92)/12*0.08,2)</f>
        <v>0</v>
      </c>
      <c r="H94" s="64"/>
      <c r="K94" s="256"/>
      <c r="L94" s="66"/>
      <c r="M94" s="437"/>
    </row>
    <row r="95" spans="1:14" s="18" customFormat="1" ht="18.75" customHeight="1" x14ac:dyDescent="0.15">
      <c r="A95" s="10" t="s">
        <v>17</v>
      </c>
      <c r="B95" s="496" t="s">
        <v>120</v>
      </c>
      <c r="C95" s="497"/>
      <c r="D95" s="585"/>
      <c r="E95" s="252"/>
      <c r="F95" s="53"/>
      <c r="G95" s="75" t="s">
        <v>0</v>
      </c>
      <c r="H95" s="66"/>
      <c r="L95" s="64"/>
      <c r="M95" s="66"/>
    </row>
    <row r="96" spans="1:14" s="18" customFormat="1" ht="10.5" x14ac:dyDescent="0.15">
      <c r="A96" s="74" t="s">
        <v>121</v>
      </c>
      <c r="B96" s="589" t="s">
        <v>122</v>
      </c>
      <c r="C96" s="590"/>
      <c r="D96" s="591"/>
      <c r="E96" s="254">
        <f>IF(RIGHT(G91,3)="Não",E94*F96,0.02)</f>
        <v>0.02</v>
      </c>
      <c r="F96" s="385">
        <f>IF(F93&gt;0,0.4,0)</f>
        <v>0.4</v>
      </c>
      <c r="G96" s="33">
        <f>IF(RIGHT(G91,3)="Não",ROUND(G94*F96,2),ROUND(G42*E96*F96,2))</f>
        <v>0</v>
      </c>
      <c r="H96" s="66"/>
      <c r="I96" s="64">
        <f>G98*10</f>
        <v>0</v>
      </c>
      <c r="K96" s="256"/>
      <c r="M96" s="64"/>
    </row>
    <row r="97" spans="1:15" s="18" customFormat="1" ht="21.6" hidden="1" customHeight="1" x14ac:dyDescent="0.15">
      <c r="A97" s="369" t="s">
        <v>123</v>
      </c>
      <c r="B97" s="592" t="s">
        <v>198</v>
      </c>
      <c r="C97" s="593"/>
      <c r="D97" s="370" t="s">
        <v>8</v>
      </c>
      <c r="E97" s="371">
        <f>E94*F97</f>
        <v>0</v>
      </c>
      <c r="F97" s="386">
        <f>IF(D97="Sim",10%,0)</f>
        <v>0</v>
      </c>
      <c r="G97" s="372">
        <f>ROUND($G$42*E97,2)</f>
        <v>0</v>
      </c>
      <c r="H97" s="64"/>
      <c r="K97" s="256"/>
      <c r="L97" s="255"/>
    </row>
    <row r="98" spans="1:15" s="18" customFormat="1" ht="29.25" customHeight="1" x14ac:dyDescent="0.15">
      <c r="A98" s="10" t="s">
        <v>19</v>
      </c>
      <c r="B98" s="522" t="str">
        <f>"Aviso prévio trabalhado (ocorrência = "&amp;(F98*100)&amp;"%) - "&amp;I98&amp;"(*)"</f>
        <v>Aviso prévio trabalhado (ocorrência = 100%) - 1º ANO DE CONTRATO(*)</v>
      </c>
      <c r="C98" s="523"/>
      <c r="D98" s="594"/>
      <c r="E98" s="388">
        <f>IF(F10="Não",1/30*7/12,1/30*3/12)</f>
        <v>1.9444444444444445E-2</v>
      </c>
      <c r="F98" s="387">
        <v>1</v>
      </c>
      <c r="G98" s="33">
        <f>ROUND(     (G$42+G78-F78)    *E98*F98,2)</f>
        <v>0</v>
      </c>
      <c r="H98" s="64"/>
      <c r="I98" s="18" t="str">
        <f>IF(PARAMETROS!C25="Sim", "APÓS PRORROGAÇÃO", "1º ANO DE CONTRATO")</f>
        <v>1º ANO DE CONTRATO</v>
      </c>
      <c r="K98" s="256"/>
      <c r="L98" s="64"/>
      <c r="M98" s="255"/>
    </row>
    <row r="99" spans="1:15" s="18" customFormat="1" ht="33.6" customHeight="1" x14ac:dyDescent="0.15">
      <c r="A99" s="10" t="s">
        <v>21</v>
      </c>
      <c r="B99" s="496" t="s">
        <v>217</v>
      </c>
      <c r="C99" s="497"/>
      <c r="D99" s="585"/>
      <c r="E99" s="253">
        <f>E98*F66</f>
        <v>7.1555555555555565E-3</v>
      </c>
      <c r="F99" s="53"/>
      <c r="G99" s="33">
        <f>ROUND(G$42 *E99*F98,2)</f>
        <v>0</v>
      </c>
      <c r="H99" s="66"/>
      <c r="I99" s="64"/>
      <c r="K99" s="256"/>
      <c r="L99" s="317"/>
      <c r="M99" s="115"/>
    </row>
    <row r="100" spans="1:15" s="18" customFormat="1" ht="20.45" customHeight="1" x14ac:dyDescent="0.15">
      <c r="A100" s="10" t="s">
        <v>23</v>
      </c>
      <c r="B100" s="522" t="s">
        <v>235</v>
      </c>
      <c r="C100" s="523"/>
      <c r="D100" s="594"/>
      <c r="E100" s="251"/>
      <c r="F100" s="53"/>
      <c r="G100" s="75" t="s">
        <v>0</v>
      </c>
      <c r="I100" s="115"/>
      <c r="M100" s="64"/>
    </row>
    <row r="101" spans="1:15" s="18" customFormat="1" ht="10.5" x14ac:dyDescent="0.15">
      <c r="A101" s="74" t="s">
        <v>127</v>
      </c>
      <c r="B101" s="589" t="s">
        <v>122</v>
      </c>
      <c r="C101" s="590"/>
      <c r="D101" s="591"/>
      <c r="E101" s="385">
        <f>IF(RIGHT(G91,3)="Não", E98*F65*F101,0.02)</f>
        <v>0.02</v>
      </c>
      <c r="F101" s="53">
        <f>IF(F98&gt;0,40%,0)</f>
        <v>0.4</v>
      </c>
      <c r="G101" s="389">
        <f>G42*E101</f>
        <v>0</v>
      </c>
      <c r="I101" s="186"/>
      <c r="K101" s="390"/>
      <c r="L101" s="390"/>
      <c r="M101" s="436"/>
      <c r="N101" s="64"/>
    </row>
    <row r="102" spans="1:15" s="18" customFormat="1" ht="13.15" hidden="1" customHeight="1" x14ac:dyDescent="0.15">
      <c r="A102" s="373" t="s">
        <v>128</v>
      </c>
      <c r="B102" s="595" t="s">
        <v>198</v>
      </c>
      <c r="C102" s="596"/>
      <c r="D102" s="374" t="s">
        <v>8</v>
      </c>
      <c r="E102" s="375">
        <f>(1 + 0.0833 + 0.0833 + 0.0278) * F102*F$94*0.9*0.5</f>
        <v>0</v>
      </c>
      <c r="F102" s="376">
        <f>IF(D102="Sim",10%,0)</f>
        <v>0</v>
      </c>
      <c r="G102" s="377">
        <f>ROUND($G$45*E102,2)</f>
        <v>0</v>
      </c>
      <c r="H102" s="66"/>
      <c r="I102" s="64"/>
      <c r="K102" s="256"/>
      <c r="L102" s="256"/>
    </row>
    <row r="103" spans="1:15" s="18" customFormat="1" ht="18.75" hidden="1" customHeight="1" x14ac:dyDescent="0.15">
      <c r="A103" s="378" t="s">
        <v>25</v>
      </c>
      <c r="B103" s="598" t="s">
        <v>258</v>
      </c>
      <c r="C103" s="598"/>
      <c r="D103" s="598"/>
      <c r="E103" s="379"/>
      <c r="F103" s="380"/>
      <c r="G103" s="381"/>
      <c r="H103" s="66"/>
      <c r="I103" s="64"/>
      <c r="K103" s="256"/>
      <c r="L103" s="256"/>
    </row>
    <row r="104" spans="1:15" s="84" customFormat="1" ht="18" customHeight="1" x14ac:dyDescent="0.15">
      <c r="A104" s="179"/>
      <c r="B104" s="285" t="s">
        <v>101</v>
      </c>
      <c r="C104" s="285"/>
      <c r="D104" s="285"/>
      <c r="E104" s="285"/>
      <c r="F104" s="159"/>
      <c r="G104" s="160">
        <f>SUM(G93:G102)</f>
        <v>0</v>
      </c>
    </row>
    <row r="105" spans="1:15" s="18" customFormat="1" ht="12.75" customHeight="1" x14ac:dyDescent="0.15">
      <c r="A105" s="25"/>
      <c r="B105" s="58"/>
      <c r="C105" s="26"/>
      <c r="D105" s="26"/>
      <c r="E105" s="26"/>
      <c r="F105" s="26"/>
      <c r="G105" s="27"/>
    </row>
    <row r="106" spans="1:15" s="89" customFormat="1" ht="18" customHeight="1" x14ac:dyDescent="0.2">
      <c r="A106" s="123" t="s">
        <v>129</v>
      </c>
      <c r="B106" s="86"/>
      <c r="C106" s="86"/>
      <c r="D106" s="124"/>
      <c r="E106" s="124"/>
      <c r="F106" s="124"/>
      <c r="G106" s="88"/>
    </row>
    <row r="107" spans="1:15" s="18" customFormat="1" ht="24" customHeight="1" x14ac:dyDescent="0.2">
      <c r="A107" s="28" t="s">
        <v>130</v>
      </c>
      <c r="B107" s="597" t="str">
        <f>"Submódulo - Substituto nas Ausências Legais  - Vinculada? "&amp;PARAMETROS!$C$27</f>
        <v>Submódulo - Substituto nas Ausências Legais  - Vinculada? Sim</v>
      </c>
      <c r="C107" s="517"/>
      <c r="D107" s="517"/>
      <c r="E107" s="182" t="s">
        <v>259</v>
      </c>
      <c r="F107" s="257" t="s">
        <v>265</v>
      </c>
      <c r="G107" s="121" t="s">
        <v>47</v>
      </c>
      <c r="I107" s="314" t="s">
        <v>218</v>
      </c>
    </row>
    <row r="108" spans="1:15" s="18" customFormat="1" ht="28.9" customHeight="1" x14ac:dyDescent="0.15">
      <c r="A108" s="8" t="s">
        <v>13</v>
      </c>
      <c r="B108" s="541" t="s">
        <v>263</v>
      </c>
      <c r="C108" s="542"/>
      <c r="D108" s="542"/>
      <c r="E108" s="424" t="str">
        <f>(IF(RIGHT(B114,3)="Sim",1/11,"Somente na prorrogação"))</f>
        <v>Somente na prorrogação</v>
      </c>
      <c r="F108" s="427" t="str">
        <f>(IF(RIGHT(B114,3)="Sim",1,"Somente na prorrogação"))</f>
        <v>Somente na prorrogação</v>
      </c>
      <c r="G108" s="428" t="str">
        <f>IF(RIGHT(B114,3)="Não","Somente na prorrogação",ROUND(((G42+G88+G104+G136-F78-F136)/F29),2))</f>
        <v>Somente na prorrogação</v>
      </c>
      <c r="H108" s="66"/>
      <c r="I108" s="64"/>
      <c r="K108" s="64"/>
      <c r="M108" s="66"/>
      <c r="N108" s="64"/>
      <c r="O108" s="64"/>
    </row>
    <row r="109" spans="1:15" s="18" customFormat="1" ht="28.9" customHeight="1" x14ac:dyDescent="0.15">
      <c r="A109" s="10" t="s">
        <v>15</v>
      </c>
      <c r="B109" s="496" t="str">
        <f>"Substituto nas Ausências legais ("&amp;(F109)&amp;" faltas/ano)"</f>
        <v>Substituto nas Ausências legais (8 faltas/ano)</v>
      </c>
      <c r="C109" s="497"/>
      <c r="D109" s="497"/>
      <c r="E109" s="425">
        <f>ROUND((F109/30/12),4)</f>
        <v>2.2200000000000001E-2</v>
      </c>
      <c r="F109" s="259">
        <v>8</v>
      </c>
      <c r="G109" s="33">
        <f>(G42+G88+G104)/30/12*F109</f>
        <v>0</v>
      </c>
      <c r="H109" s="66"/>
      <c r="I109" s="64"/>
      <c r="M109" s="66"/>
      <c r="N109" s="66"/>
    </row>
    <row r="110" spans="1:15" s="18" customFormat="1" ht="28.9" customHeight="1" x14ac:dyDescent="0.15">
      <c r="A110" s="10" t="s">
        <v>17</v>
      </c>
      <c r="B110" s="496" t="str">
        <f>"Substituto Licença paternidade (probabilidade de ocorrência = "&amp;(F110*100)&amp;"%/ano)"</f>
        <v>Substituto Licença paternidade (probabilidade de ocorrência = 2%/ano)</v>
      </c>
      <c r="C110" s="497"/>
      <c r="D110" s="497"/>
      <c r="E110" s="425">
        <f>ROUND((5/30/12) * F110,4)</f>
        <v>2.9999999999999997E-4</v>
      </c>
      <c r="F110" s="258">
        <v>0.02</v>
      </c>
      <c r="G110" s="33">
        <f>ROUND(G$45/30*5/12*F110,2)</f>
        <v>0</v>
      </c>
      <c r="N110" s="64"/>
    </row>
    <row r="111" spans="1:15" s="18" customFormat="1" ht="28.9" customHeight="1" x14ac:dyDescent="0.15">
      <c r="A111" s="10" t="s">
        <v>19</v>
      </c>
      <c r="B111" s="496" t="str">
        <f>"Substituto Ausência por acidente de trabalho (probabilidade de ocorrência = "&amp;(F111)&amp;" Faltas/ano)"</f>
        <v>Substituto Ausência por acidente de trabalho (probabilidade de ocorrência = 5 Faltas/ano)</v>
      </c>
      <c r="C111" s="497"/>
      <c r="D111" s="585"/>
      <c r="E111" s="425">
        <f>ROUND((F111/30/12 ),4)</f>
        <v>1.3899999999999999E-2</v>
      </c>
      <c r="F111" s="259">
        <v>5</v>
      </c>
      <c r="G111" s="33">
        <f>((G45)+G88+G104)/30/12*F111</f>
        <v>0</v>
      </c>
      <c r="H111" s="64"/>
      <c r="N111" s="64"/>
    </row>
    <row r="112" spans="1:15" s="18" customFormat="1" ht="28.9" customHeight="1" x14ac:dyDescent="0.15">
      <c r="A112" s="10" t="s">
        <v>21</v>
      </c>
      <c r="B112" s="496" t="str">
        <f>"Substituto Licença maternidade (probabilidade de ocorrência = "&amp;(F112*100)&amp;"% ao ano)"</f>
        <v>Substituto Licença maternidade (probabilidade de ocorrência = 5,28% ao ano)</v>
      </c>
      <c r="C112" s="497"/>
      <c r="D112" s="585"/>
      <c r="E112" s="425">
        <f>((1/12)+(1/3/12)) * F112 * (6/12)</f>
        <v>2.9333333333333334E-3</v>
      </c>
      <c r="F112" s="258">
        <v>5.28E-2</v>
      </c>
      <c r="G112" s="33">
        <f>ROUND(G$45/30*5/12*F112,2)</f>
        <v>0</v>
      </c>
    </row>
    <row r="113" spans="1:14" s="18" customFormat="1" ht="28.9" customHeight="1" x14ac:dyDescent="0.15">
      <c r="A113" s="10" t="s">
        <v>23</v>
      </c>
      <c r="B113" s="586" t="s">
        <v>133</v>
      </c>
      <c r="C113" s="587"/>
      <c r="D113" s="588"/>
      <c r="E113" s="426"/>
      <c r="F113" s="315" t="s">
        <v>0</v>
      </c>
      <c r="G113" s="34"/>
      <c r="H113" s="64"/>
    </row>
    <row r="114" spans="1:14" s="18" customFormat="1" ht="18" customHeight="1" x14ac:dyDescent="0.15">
      <c r="A114" s="318"/>
      <c r="B114" s="423" t="str">
        <f>"Contrato prorrogado? "&amp;F10</f>
        <v>Contrato prorrogado? Não</v>
      </c>
      <c r="C114" s="286"/>
      <c r="D114" s="286"/>
      <c r="E114" s="180" t="s">
        <v>260</v>
      </c>
      <c r="F114" s="47"/>
      <c r="G114" s="11">
        <f>SUM(G108:G113)</f>
        <v>0</v>
      </c>
      <c r="K114" s="255"/>
      <c r="L114" s="255"/>
    </row>
    <row r="115" spans="1:14" s="18" customFormat="1" ht="10.5" x14ac:dyDescent="0.15">
      <c r="A115" s="328"/>
      <c r="B115" s="328"/>
      <c r="C115" s="328"/>
      <c r="D115" s="328"/>
      <c r="E115" s="328"/>
      <c r="F115" s="328"/>
      <c r="G115" s="328"/>
    </row>
    <row r="116" spans="1:14" s="18" customFormat="1" ht="24" customHeight="1" x14ac:dyDescent="0.15">
      <c r="A116" s="29" t="s">
        <v>136</v>
      </c>
      <c r="B116" s="508" t="s">
        <v>137</v>
      </c>
      <c r="C116" s="509"/>
      <c r="D116" s="509"/>
      <c r="E116" s="509"/>
      <c r="F116" s="510"/>
      <c r="G116" s="121" t="s">
        <v>47</v>
      </c>
    </row>
    <row r="117" spans="1:14" s="18" customFormat="1" ht="22.5" customHeight="1" x14ac:dyDescent="0.15">
      <c r="A117" s="8" t="s">
        <v>13</v>
      </c>
      <c r="B117" s="527" t="s">
        <v>138</v>
      </c>
      <c r="C117" s="528"/>
      <c r="D117" s="528"/>
      <c r="E117" s="528"/>
      <c r="F117" s="287" t="s">
        <v>8</v>
      </c>
      <c r="G117" s="32" t="str">
        <f>IF(F117="Sim",ROUND(G$45/$G$30*22*(F118*24),4),"")</f>
        <v/>
      </c>
      <c r="H117" s="66"/>
      <c r="I117" s="64"/>
    </row>
    <row r="118" spans="1:14" s="18" customFormat="1" ht="22.5" customHeight="1" x14ac:dyDescent="0.15">
      <c r="A118" s="177" t="s">
        <v>140</v>
      </c>
      <c r="B118" s="498" t="s">
        <v>141</v>
      </c>
      <c r="C118" s="499"/>
      <c r="D118" s="499"/>
      <c r="E118" s="499"/>
      <c r="F118" s="157">
        <v>4.1666666666666664E-2</v>
      </c>
      <c r="G118" s="34"/>
      <c r="H118" s="64"/>
      <c r="N118" s="115"/>
    </row>
    <row r="119" spans="1:14" s="18" customFormat="1" ht="18" customHeight="1" x14ac:dyDescent="0.15">
      <c r="A119" s="316"/>
      <c r="B119" s="205" t="s">
        <v>101</v>
      </c>
      <c r="C119" s="205"/>
      <c r="D119" s="205"/>
      <c r="E119" s="205"/>
      <c r="F119" s="207"/>
      <c r="G119" s="12">
        <f>SUM(G117:G118)</f>
        <v>0</v>
      </c>
    </row>
    <row r="120" spans="1:14" s="18" customFormat="1" ht="10.5" x14ac:dyDescent="0.15">
      <c r="A120" s="531" t="s">
        <v>142</v>
      </c>
      <c r="B120" s="513"/>
      <c r="C120" s="513"/>
      <c r="D120" s="513"/>
      <c r="E120" s="513"/>
      <c r="F120" s="513"/>
      <c r="G120" s="532"/>
    </row>
    <row r="121" spans="1:14" s="18" customFormat="1" ht="10.5" x14ac:dyDescent="0.15">
      <c r="A121" s="582" t="s">
        <v>219</v>
      </c>
      <c r="B121" s="583"/>
      <c r="C121" s="583"/>
      <c r="D121" s="583"/>
      <c r="E121" s="583"/>
      <c r="F121" s="583"/>
      <c r="G121" s="584"/>
    </row>
    <row r="122" spans="1:14" s="18" customFormat="1" ht="17.25" customHeight="1" x14ac:dyDescent="0.15">
      <c r="A122" s="70"/>
      <c r="B122" s="70"/>
      <c r="C122" s="70"/>
      <c r="D122" s="70"/>
      <c r="E122" s="70"/>
      <c r="F122" s="70"/>
      <c r="G122" s="70"/>
    </row>
    <row r="123" spans="1:14" s="133" customFormat="1" ht="24" customHeight="1" x14ac:dyDescent="0.15">
      <c r="A123" s="135" t="s">
        <v>144</v>
      </c>
      <c r="B123" s="141"/>
      <c r="C123" s="142"/>
      <c r="D123" s="142"/>
      <c r="E123" s="142"/>
      <c r="F123" s="142"/>
      <c r="G123" s="143"/>
    </row>
    <row r="124" spans="1:14" s="134" customFormat="1" ht="24" customHeight="1" x14ac:dyDescent="0.15">
      <c r="A124" s="136">
        <v>4</v>
      </c>
      <c r="B124" s="137" t="s">
        <v>110</v>
      </c>
      <c r="C124" s="138"/>
      <c r="D124" s="138"/>
      <c r="E124" s="138"/>
      <c r="F124" s="138"/>
      <c r="G124" s="139"/>
    </row>
    <row r="125" spans="1:14" s="133" customFormat="1" ht="24" customHeight="1" x14ac:dyDescent="0.15">
      <c r="A125" s="140" t="s">
        <v>130</v>
      </c>
      <c r="B125" s="141" t="s">
        <v>145</v>
      </c>
      <c r="C125" s="142"/>
      <c r="D125" s="142"/>
      <c r="E125" s="142"/>
      <c r="F125" s="143"/>
      <c r="G125" s="149">
        <f>G114</f>
        <v>0</v>
      </c>
    </row>
    <row r="126" spans="1:14" s="133" customFormat="1" ht="24" customHeight="1" x14ac:dyDescent="0.15">
      <c r="A126" s="140" t="s">
        <v>136</v>
      </c>
      <c r="B126" s="141" t="s">
        <v>146</v>
      </c>
      <c r="C126" s="142"/>
      <c r="D126" s="142"/>
      <c r="E126" s="142"/>
      <c r="F126" s="143"/>
      <c r="G126" s="149">
        <f>G119</f>
        <v>0</v>
      </c>
    </row>
    <row r="127" spans="1:14" s="133" customFormat="1" ht="24" customHeight="1" x14ac:dyDescent="0.15">
      <c r="A127" s="140"/>
      <c r="B127" s="141"/>
      <c r="C127" s="142"/>
      <c r="D127" s="142"/>
      <c r="E127" s="142"/>
      <c r="F127" s="143"/>
      <c r="G127" s="149"/>
    </row>
    <row r="128" spans="1:14" s="133" customFormat="1" ht="18" customHeight="1" x14ac:dyDescent="0.15">
      <c r="A128" s="147"/>
      <c r="B128" s="144" t="s">
        <v>114</v>
      </c>
      <c r="C128" s="144"/>
      <c r="D128" s="148" t="s">
        <v>101</v>
      </c>
      <c r="E128" s="144"/>
      <c r="F128" s="145"/>
      <c r="G128" s="146">
        <f>SUM(G125:G127)</f>
        <v>0</v>
      </c>
    </row>
    <row r="129" spans="1:9" s="18" customFormat="1" ht="18" customHeight="1" x14ac:dyDescent="0.15">
      <c r="A129" s="25"/>
      <c r="B129" s="58"/>
      <c r="C129" s="26"/>
      <c r="D129" s="26"/>
      <c r="E129" s="26"/>
      <c r="F129" s="26"/>
      <c r="G129" s="27"/>
    </row>
    <row r="130" spans="1:9" s="129" customFormat="1" ht="18" customHeight="1" x14ac:dyDescent="0.2">
      <c r="A130" s="123" t="s">
        <v>45</v>
      </c>
      <c r="B130" s="126"/>
      <c r="C130" s="126"/>
      <c r="D130" s="127"/>
      <c r="E130" s="127"/>
      <c r="F130" s="127"/>
      <c r="G130" s="128"/>
    </row>
    <row r="131" spans="1:9" s="130" customFormat="1" ht="18" customHeight="1" x14ac:dyDescent="0.2">
      <c r="A131" s="6">
        <v>5</v>
      </c>
      <c r="B131" s="62" t="s">
        <v>46</v>
      </c>
      <c r="C131" s="285"/>
      <c r="D131" s="285"/>
      <c r="E131" s="285"/>
      <c r="F131" s="429" t="s">
        <v>261</v>
      </c>
      <c r="G131" s="60" t="s">
        <v>47</v>
      </c>
    </row>
    <row r="132" spans="1:9" s="130" customFormat="1" ht="18" customHeight="1" x14ac:dyDescent="0.2">
      <c r="A132" s="8" t="s">
        <v>13</v>
      </c>
      <c r="B132" s="448" t="s">
        <v>48</v>
      </c>
      <c r="C132" s="449"/>
      <c r="D132" s="449"/>
      <c r="E132" s="449"/>
      <c r="F132" s="430"/>
      <c r="G132" s="161">
        <f>PARAMETROS!C59</f>
        <v>0</v>
      </c>
      <c r="I132" s="131"/>
    </row>
    <row r="133" spans="1:9" s="130" customFormat="1" ht="18" customHeight="1" x14ac:dyDescent="0.2">
      <c r="A133" s="10" t="s">
        <v>15</v>
      </c>
      <c r="B133" s="446" t="s">
        <v>49</v>
      </c>
      <c r="C133" s="447"/>
      <c r="D133" s="447"/>
      <c r="E133" s="447"/>
      <c r="F133" s="431" t="s">
        <v>139</v>
      </c>
      <c r="G133" s="161">
        <f>PARAMETROS!C60</f>
        <v>0</v>
      </c>
    </row>
    <row r="134" spans="1:9" s="130" customFormat="1" ht="18" customHeight="1" x14ac:dyDescent="0.2">
      <c r="A134" s="10" t="s">
        <v>17</v>
      </c>
      <c r="B134" s="446" t="s">
        <v>50</v>
      </c>
      <c r="C134" s="447"/>
      <c r="D134" s="447"/>
      <c r="E134" s="447"/>
      <c r="F134" s="431" t="s">
        <v>139</v>
      </c>
      <c r="G134" s="161">
        <f>PARAMETROS!C61</f>
        <v>0</v>
      </c>
    </row>
    <row r="135" spans="1:9" s="130" customFormat="1" ht="18" customHeight="1" x14ac:dyDescent="0.2">
      <c r="A135" s="177" t="s">
        <v>25</v>
      </c>
      <c r="B135" s="273" t="s">
        <v>51</v>
      </c>
      <c r="C135" s="274"/>
      <c r="D135" s="274"/>
      <c r="E135" s="274"/>
      <c r="F135" s="432"/>
      <c r="G135" s="161">
        <f>PARAMETROS!C62</f>
        <v>0</v>
      </c>
    </row>
    <row r="136" spans="1:9" s="130" customFormat="1" ht="18" customHeight="1" x14ac:dyDescent="0.2">
      <c r="A136" s="13"/>
      <c r="B136" s="180" t="s">
        <v>29</v>
      </c>
      <c r="C136" s="52"/>
      <c r="D136" s="52"/>
      <c r="E136" s="52"/>
      <c r="F136" s="433">
        <f>SUMIF(F132:F135,"Sim",G132:G135)</f>
        <v>0</v>
      </c>
      <c r="G136" s="14">
        <f>SUM(G132:G135)</f>
        <v>0</v>
      </c>
    </row>
    <row r="137" spans="1:9" s="76" customFormat="1" ht="15.75" customHeight="1" x14ac:dyDescent="0.15">
      <c r="A137" s="77"/>
      <c r="B137" s="78"/>
      <c r="C137" s="77"/>
      <c r="D137" s="77"/>
      <c r="E137" s="77"/>
      <c r="F137" s="77"/>
      <c r="G137" s="77"/>
    </row>
    <row r="138" spans="1:9" s="89" customFormat="1" ht="18" customHeight="1" x14ac:dyDescent="0.2">
      <c r="A138" s="85" t="s">
        <v>149</v>
      </c>
      <c r="B138" s="86"/>
      <c r="C138" s="86"/>
      <c r="D138" s="87"/>
      <c r="E138" s="87"/>
      <c r="F138" s="87"/>
      <c r="G138" s="88"/>
    </row>
    <row r="139" spans="1:9" s="18" customFormat="1" ht="18" customHeight="1" x14ac:dyDescent="0.15">
      <c r="A139" s="28">
        <v>6</v>
      </c>
      <c r="B139" s="61" t="s">
        <v>150</v>
      </c>
      <c r="C139" s="445"/>
      <c r="D139" s="445"/>
      <c r="E139" s="445"/>
      <c r="F139" s="54" t="s">
        <v>12</v>
      </c>
      <c r="G139" s="60" t="s">
        <v>47</v>
      </c>
    </row>
    <row r="140" spans="1:9" s="18" customFormat="1" ht="19.5" customHeight="1" x14ac:dyDescent="0.15">
      <c r="A140" s="8" t="s">
        <v>13</v>
      </c>
      <c r="B140" s="489" t="s">
        <v>151</v>
      </c>
      <c r="C140" s="490"/>
      <c r="D140" s="490"/>
      <c r="E140" s="490"/>
      <c r="F140" s="72">
        <v>0.1</v>
      </c>
      <c r="G140" s="91">
        <f>ROUND(($G$45+$G$88+$G$104+$G$128+$G$136)*F140,2)</f>
        <v>0</v>
      </c>
      <c r="H140" s="64"/>
    </row>
    <row r="141" spans="1:9" s="18" customFormat="1" ht="19.5" customHeight="1" x14ac:dyDescent="0.15">
      <c r="A141" s="179" t="s">
        <v>15</v>
      </c>
      <c r="B141" s="489" t="s">
        <v>264</v>
      </c>
      <c r="C141" s="490"/>
      <c r="D141" s="490"/>
      <c r="E141" s="490"/>
      <c r="F141" s="92">
        <v>0.1</v>
      </c>
      <c r="G141" s="91">
        <f>ROUND(($G$45+$G$88+$G$104+$G$128+$G$136+$G$140)*F141,2)</f>
        <v>0</v>
      </c>
    </row>
    <row r="142" spans="1:9" s="18" customFormat="1" ht="18" customHeight="1" x14ac:dyDescent="0.15">
      <c r="A142" s="179" t="s">
        <v>17</v>
      </c>
      <c r="B142" s="63" t="s">
        <v>153</v>
      </c>
      <c r="C142" s="93"/>
      <c r="D142" s="93"/>
      <c r="E142" s="93"/>
      <c r="F142" s="35">
        <f>SUM(F144:F149)</f>
        <v>8.6499999999999994E-2</v>
      </c>
      <c r="G142" s="36"/>
    </row>
    <row r="143" spans="1:9" s="18" customFormat="1" ht="18" customHeight="1" x14ac:dyDescent="0.15">
      <c r="A143" s="179"/>
      <c r="B143" s="63" t="s">
        <v>154</v>
      </c>
      <c r="C143" s="93"/>
      <c r="D143" s="93"/>
      <c r="E143" s="93"/>
      <c r="F143" s="35"/>
      <c r="G143" s="31"/>
    </row>
    <row r="144" spans="1:9" s="18" customFormat="1" ht="18" customHeight="1" x14ac:dyDescent="0.15">
      <c r="A144" s="10"/>
      <c r="B144" s="162" t="s">
        <v>155</v>
      </c>
      <c r="C144" s="163"/>
      <c r="D144" s="163"/>
      <c r="E144" s="163"/>
      <c r="F144" s="164">
        <v>6.4999999999999997E-3</v>
      </c>
      <c r="G144" s="165">
        <f>ROUND($G$153*F144,2)</f>
        <v>0</v>
      </c>
    </row>
    <row r="145" spans="1:15" s="18" customFormat="1" ht="18" customHeight="1" x14ac:dyDescent="0.15">
      <c r="A145" s="10"/>
      <c r="B145" s="162" t="s">
        <v>156</v>
      </c>
      <c r="C145" s="163"/>
      <c r="D145" s="163"/>
      <c r="E145" s="163"/>
      <c r="F145" s="164">
        <v>0.03</v>
      </c>
      <c r="G145" s="165">
        <f>ROUND($G$153*F145,2)</f>
        <v>0</v>
      </c>
    </row>
    <row r="146" spans="1:15" s="18" customFormat="1" ht="18" customHeight="1" x14ac:dyDescent="0.15">
      <c r="A146" s="179"/>
      <c r="B146" s="63" t="s">
        <v>157</v>
      </c>
      <c r="C146" s="93"/>
      <c r="D146" s="93"/>
      <c r="E146" s="93"/>
      <c r="F146" s="92"/>
      <c r="G146" s="160"/>
    </row>
    <row r="147" spans="1:15" s="18" customFormat="1" ht="18" customHeight="1" x14ac:dyDescent="0.15">
      <c r="A147" s="179"/>
      <c r="B147" s="63" t="s">
        <v>158</v>
      </c>
      <c r="C147" s="93"/>
      <c r="D147" s="93"/>
      <c r="E147" s="93"/>
      <c r="F147" s="35"/>
      <c r="G147" s="160"/>
    </row>
    <row r="148" spans="1:15" s="18" customFormat="1" ht="18" customHeight="1" x14ac:dyDescent="0.15">
      <c r="A148" s="8"/>
      <c r="B148" s="166" t="s">
        <v>159</v>
      </c>
      <c r="C148" s="168"/>
      <c r="D148" s="168"/>
      <c r="E148" s="168"/>
      <c r="F148" s="167">
        <v>0.05</v>
      </c>
      <c r="G148" s="165">
        <f>ROUND($G$153*F148,2)</f>
        <v>0</v>
      </c>
    </row>
    <row r="149" spans="1:15" s="18" customFormat="1" ht="18" customHeight="1" x14ac:dyDescent="0.15">
      <c r="A149" s="179"/>
      <c r="B149" s="63" t="s">
        <v>160</v>
      </c>
      <c r="C149" s="93"/>
      <c r="D149" s="93"/>
      <c r="E149" s="93"/>
      <c r="F149" s="35"/>
      <c r="G149" s="14"/>
    </row>
    <row r="150" spans="1:15" s="18" customFormat="1" ht="18" customHeight="1" x14ac:dyDescent="0.15">
      <c r="A150" s="179"/>
      <c r="B150" s="285" t="s">
        <v>101</v>
      </c>
      <c r="C150" s="285"/>
      <c r="D150" s="285"/>
      <c r="E150" s="285"/>
      <c r="F150" s="35"/>
      <c r="G150" s="31">
        <f>SUM(G140:G149)</f>
        <v>0</v>
      </c>
      <c r="N150" s="64"/>
      <c r="O150" s="64"/>
    </row>
    <row r="151" spans="1:15" s="7" customFormat="1" ht="18" customHeight="1" x14ac:dyDescent="0.2">
      <c r="A151" s="38" t="str">
        <f>"a) F = Tributos (%) /100"&amp;" = "&amp;(F142*100)&amp;"% / 100 = "&amp;ROUND((F142*100)/100,4)</f>
        <v>a) F = Tributos (%) /100 = 8,65% / 100 = 0,0865</v>
      </c>
      <c r="B151" s="39"/>
      <c r="C151" s="39"/>
      <c r="D151" s="39"/>
      <c r="E151" s="39"/>
      <c r="F151" s="39"/>
      <c r="G151" s="40"/>
      <c r="H151" s="49"/>
      <c r="I151" s="50"/>
    </row>
    <row r="152" spans="1:15" s="7" customFormat="1" ht="18" customHeight="1" x14ac:dyDescent="0.2">
      <c r="A152" s="42" t="s">
        <v>161</v>
      </c>
      <c r="B152" s="41"/>
      <c r="C152" s="41"/>
      <c r="D152" s="41"/>
      <c r="E152" s="41"/>
      <c r="F152" s="41"/>
      <c r="G152" s="37">
        <f>ROUND(($G$45+$G$88+$G$104+$G$128+$G$136+$G$140+$G$141),2)</f>
        <v>0</v>
      </c>
      <c r="H152" s="46"/>
      <c r="I152" s="50"/>
      <c r="N152" s="68"/>
      <c r="O152" s="68"/>
    </row>
    <row r="153" spans="1:15" s="7" customFormat="1" ht="18" customHeight="1" x14ac:dyDescent="0.2">
      <c r="A153" s="42" t="str">
        <f>"c) PF= P / (1 - F) = P  / (1 - "&amp;F142&amp;") =  P / "&amp;(1-F142)&amp;" = "</f>
        <v xml:space="preserve">c) PF= P / (1 - F) = P  / (1 - 0,0865) =  P / 0,9135 = </v>
      </c>
      <c r="B153" s="41"/>
      <c r="C153" s="41"/>
      <c r="D153" s="41"/>
      <c r="E153" s="41"/>
      <c r="F153" s="41"/>
      <c r="G153" s="37">
        <f>ROUND(G152/ (1-$F142),2)</f>
        <v>0</v>
      </c>
      <c r="H153" s="46"/>
      <c r="I153" s="50"/>
      <c r="O153" s="68"/>
    </row>
    <row r="154" spans="1:15" s="7" customFormat="1" ht="18" customHeight="1" x14ac:dyDescent="0.2">
      <c r="A154" s="43" t="str">
        <f>"VALOR DOS TRIBUTOS = PF - P =  "</f>
        <v xml:space="preserve">VALOR DOS TRIBUTOS = PF - P =  </v>
      </c>
      <c r="B154" s="44"/>
      <c r="C154" s="44"/>
      <c r="D154" s="44"/>
      <c r="E154" s="44"/>
      <c r="F154" s="45"/>
      <c r="G154" s="48">
        <f>G153-G152</f>
        <v>0</v>
      </c>
      <c r="H154" s="46"/>
      <c r="I154" s="50"/>
    </row>
    <row r="155" spans="1:15" s="7" customFormat="1" ht="10.5" x14ac:dyDescent="0.2">
      <c r="A155" s="329" t="s">
        <v>162</v>
      </c>
      <c r="B155" s="330" t="s">
        <v>163</v>
      </c>
      <c r="C155" s="331"/>
      <c r="D155" s="331"/>
      <c r="E155" s="331"/>
      <c r="F155" s="39"/>
      <c r="G155" s="332"/>
      <c r="H155" s="46"/>
      <c r="I155" s="50"/>
    </row>
    <row r="156" spans="1:15" s="7" customFormat="1" ht="10.5" x14ac:dyDescent="0.2">
      <c r="A156" s="333"/>
      <c r="B156" s="79" t="s">
        <v>164</v>
      </c>
      <c r="C156" s="95"/>
      <c r="D156" s="95"/>
      <c r="E156" s="95"/>
      <c r="F156" s="41"/>
      <c r="G156" s="334"/>
      <c r="H156" s="46"/>
      <c r="I156" s="50"/>
    </row>
    <row r="157" spans="1:15" s="7" customFormat="1" ht="10.5" x14ac:dyDescent="0.2">
      <c r="A157" s="333"/>
      <c r="B157" s="79" t="s">
        <v>165</v>
      </c>
      <c r="C157" s="95"/>
      <c r="D157" s="95"/>
      <c r="E157" s="95"/>
      <c r="F157" s="41"/>
      <c r="G157" s="334"/>
      <c r="H157" s="46"/>
      <c r="I157" s="50"/>
    </row>
    <row r="158" spans="1:15" s="7" customFormat="1" ht="10.5" x14ac:dyDescent="0.2">
      <c r="A158" s="43"/>
      <c r="B158" s="440"/>
      <c r="C158" s="44"/>
      <c r="D158" s="44"/>
      <c r="E158" s="44"/>
      <c r="F158" s="45"/>
      <c r="G158" s="48"/>
      <c r="H158" s="46"/>
      <c r="I158" s="50"/>
    </row>
    <row r="159" spans="1:15" ht="18" customHeight="1" x14ac:dyDescent="0.15">
      <c r="H159" s="51"/>
      <c r="I159" s="51"/>
    </row>
    <row r="160" spans="1:15" s="89" customFormat="1" ht="18" customHeight="1" x14ac:dyDescent="0.2">
      <c r="A160" s="90" t="s">
        <v>166</v>
      </c>
      <c r="B160" s="86"/>
      <c r="C160" s="86"/>
      <c r="D160" s="87"/>
      <c r="E160" s="87"/>
      <c r="F160" s="87"/>
      <c r="G160" s="88"/>
    </row>
    <row r="161" spans="1:9" s="18" customFormat="1" ht="21.75" customHeight="1" x14ac:dyDescent="0.15">
      <c r="A161" s="97"/>
      <c r="B161" s="491" t="s">
        <v>167</v>
      </c>
      <c r="C161" s="491"/>
      <c r="D161" s="491"/>
      <c r="E161" s="491"/>
      <c r="F161" s="492"/>
      <c r="G161" s="98" t="s">
        <v>47</v>
      </c>
      <c r="H161" s="25"/>
      <c r="I161" s="25"/>
    </row>
    <row r="162" spans="1:9" s="18" customFormat="1" ht="21.75" customHeight="1" x14ac:dyDescent="0.15">
      <c r="A162" s="100" t="s">
        <v>13</v>
      </c>
      <c r="B162" s="101" t="s">
        <v>168</v>
      </c>
      <c r="C162" s="102"/>
      <c r="D162" s="102"/>
      <c r="E162" s="102"/>
      <c r="F162" s="103"/>
      <c r="G162" s="169">
        <f>$G$45</f>
        <v>0</v>
      </c>
    </row>
    <row r="163" spans="1:9" s="18" customFormat="1" ht="21.75" customHeight="1" x14ac:dyDescent="0.15">
      <c r="A163" s="104" t="s">
        <v>15</v>
      </c>
      <c r="B163" s="105" t="s">
        <v>169</v>
      </c>
      <c r="C163" s="106"/>
      <c r="D163" s="106"/>
      <c r="E163" s="106"/>
      <c r="F163" s="69"/>
      <c r="G163" s="170">
        <f>$G$88</f>
        <v>0</v>
      </c>
    </row>
    <row r="164" spans="1:9" s="18" customFormat="1" ht="21.75" customHeight="1" x14ac:dyDescent="0.15">
      <c r="A164" s="104" t="s">
        <v>17</v>
      </c>
      <c r="B164" s="105" t="s">
        <v>170</v>
      </c>
      <c r="C164" s="106"/>
      <c r="D164" s="106"/>
      <c r="E164" s="106"/>
      <c r="F164" s="69"/>
      <c r="G164" s="170">
        <f>$G$104</f>
        <v>0</v>
      </c>
    </row>
    <row r="165" spans="1:9" s="18" customFormat="1" ht="21.75" customHeight="1" x14ac:dyDescent="0.15">
      <c r="A165" s="104" t="s">
        <v>19</v>
      </c>
      <c r="B165" s="105" t="s">
        <v>171</v>
      </c>
      <c r="C165" s="106"/>
      <c r="D165" s="106"/>
      <c r="E165" s="106"/>
      <c r="F165" s="69"/>
      <c r="G165" s="170">
        <f>$G$128</f>
        <v>0</v>
      </c>
    </row>
    <row r="166" spans="1:9" s="18" customFormat="1" ht="21.75" customHeight="1" x14ac:dyDescent="0.15">
      <c r="A166" s="104" t="s">
        <v>21</v>
      </c>
      <c r="B166" s="105" t="s">
        <v>172</v>
      </c>
      <c r="C166" s="106"/>
      <c r="D166" s="106"/>
      <c r="E166" s="106"/>
      <c r="F166" s="69"/>
      <c r="G166" s="170">
        <f>$G$136</f>
        <v>0</v>
      </c>
    </row>
    <row r="167" spans="1:9" s="18" customFormat="1" ht="21.75" customHeight="1" x14ac:dyDescent="0.15">
      <c r="A167" s="104"/>
      <c r="B167" s="107" t="s">
        <v>173</v>
      </c>
      <c r="C167" s="106"/>
      <c r="D167" s="106"/>
      <c r="E167" s="106"/>
      <c r="F167" s="69"/>
      <c r="G167" s="171">
        <f>SUM(G162:G166)</f>
        <v>0</v>
      </c>
    </row>
    <row r="168" spans="1:9" s="18" customFormat="1" ht="21.75" customHeight="1" x14ac:dyDescent="0.15">
      <c r="A168" s="109" t="s">
        <v>23</v>
      </c>
      <c r="B168" s="110" t="s">
        <v>174</v>
      </c>
      <c r="C168" s="111"/>
      <c r="D168" s="111"/>
      <c r="E168" s="111"/>
      <c r="F168" s="112"/>
      <c r="G168" s="172">
        <f>$G$150</f>
        <v>0</v>
      </c>
    </row>
    <row r="169" spans="1:9" s="18" customFormat="1" ht="21.75" customHeight="1" x14ac:dyDescent="0.15">
      <c r="A169" s="113"/>
      <c r="B169" s="99" t="s">
        <v>175</v>
      </c>
      <c r="C169" s="99"/>
      <c r="D169" s="99"/>
      <c r="E169" s="99"/>
      <c r="F169" s="114"/>
      <c r="G169" s="173">
        <f>SUM(G167:G168)</f>
        <v>0</v>
      </c>
      <c r="H169" s="64"/>
      <c r="I169" s="64"/>
    </row>
  </sheetData>
  <mergeCells count="74">
    <mergeCell ref="B11:E11"/>
    <mergeCell ref="A2:G2"/>
    <mergeCell ref="A3:G3"/>
    <mergeCell ref="A5:G5"/>
    <mergeCell ref="A6:G6"/>
    <mergeCell ref="B10:E10"/>
    <mergeCell ref="B25:F25"/>
    <mergeCell ref="A14:B14"/>
    <mergeCell ref="E14:F14"/>
    <mergeCell ref="A15:B15"/>
    <mergeCell ref="E15:F15"/>
    <mergeCell ref="A16:B16"/>
    <mergeCell ref="E16:F16"/>
    <mergeCell ref="A17:B17"/>
    <mergeCell ref="E17:F17"/>
    <mergeCell ref="A22:F22"/>
    <mergeCell ref="B23:F23"/>
    <mergeCell ref="B24:F24"/>
    <mergeCell ref="B42:E42"/>
    <mergeCell ref="B26:F26"/>
    <mergeCell ref="B27:F27"/>
    <mergeCell ref="A28:A29"/>
    <mergeCell ref="B28:C28"/>
    <mergeCell ref="D28:E28"/>
    <mergeCell ref="B29:C29"/>
    <mergeCell ref="D29:E29"/>
    <mergeCell ref="B30:C30"/>
    <mergeCell ref="E30:F30"/>
    <mergeCell ref="A34:G34"/>
    <mergeCell ref="B36:E36"/>
    <mergeCell ref="B41:D41"/>
    <mergeCell ref="A79:G79"/>
    <mergeCell ref="B43:E43"/>
    <mergeCell ref="A46:G46"/>
    <mergeCell ref="A49:G49"/>
    <mergeCell ref="B50:C50"/>
    <mergeCell ref="D50:E50"/>
    <mergeCell ref="B52:C52"/>
    <mergeCell ref="B57:E57"/>
    <mergeCell ref="C58:D58"/>
    <mergeCell ref="B68:E68"/>
    <mergeCell ref="B69:E69"/>
    <mergeCell ref="B71:E71"/>
    <mergeCell ref="B99:D99"/>
    <mergeCell ref="A80:G80"/>
    <mergeCell ref="A81:G81"/>
    <mergeCell ref="A90:G90"/>
    <mergeCell ref="B91:D91"/>
    <mergeCell ref="A92:E92"/>
    <mergeCell ref="B93:D93"/>
    <mergeCell ref="B94:D94"/>
    <mergeCell ref="B95:D95"/>
    <mergeCell ref="B96:D96"/>
    <mergeCell ref="B97:C97"/>
    <mergeCell ref="B98:D98"/>
    <mergeCell ref="B116:F116"/>
    <mergeCell ref="B100:D100"/>
    <mergeCell ref="B101:D101"/>
    <mergeCell ref="B102:C102"/>
    <mergeCell ref="B103:D103"/>
    <mergeCell ref="B107:D107"/>
    <mergeCell ref="B108:D108"/>
    <mergeCell ref="B109:D109"/>
    <mergeCell ref="B110:D110"/>
    <mergeCell ref="B111:D111"/>
    <mergeCell ref="B112:D112"/>
    <mergeCell ref="B113:D113"/>
    <mergeCell ref="B161:F161"/>
    <mergeCell ref="B117:E117"/>
    <mergeCell ref="B118:E118"/>
    <mergeCell ref="A120:G120"/>
    <mergeCell ref="A121:G121"/>
    <mergeCell ref="B140:E140"/>
    <mergeCell ref="B141:E141"/>
  </mergeCells>
  <dataValidations count="3">
    <dataValidation type="list" allowBlank="1" showInputMessage="1" showErrorMessage="1" errorTitle="VALORES INCORRETOS" error="Responder &quot;Sim&quot; ou &quot;Não&quot;" sqref="F43">
      <formula1>"Sim,Não"</formula1>
    </dataValidation>
    <dataValidation type="list" allowBlank="1" showInputMessage="1" showErrorMessage="1" sqref="F11">
      <formula1>"Normal,12X36"</formula1>
    </dataValidation>
    <dataValidation type="list" allowBlank="1" showInputMessage="1" showErrorMessage="1" sqref="F117 D97 D102 F10 F69:F77 F37 C39 F132:F135">
      <formula1>"Sim,Não"</formula1>
    </dataValidation>
  </dataValidations>
  <hyperlinks>
    <hyperlink ref="I107" r:id="rId1"/>
  </hyperlinks>
  <printOptions horizontalCentered="1"/>
  <pageMargins left="1.1811023622047245" right="0.39370078740157483" top="0.39370078740157483" bottom="0.39370078740157483" header="0.11811023622047245" footer="0.11811023622047245"/>
  <pageSetup paperSize="9" scale="82" fitToHeight="4" orientation="portrait" r:id="rId2"/>
  <headerFooter alignWithMargins="0">
    <oddFooter>&amp;LPág. &amp;P</oddFooter>
  </headerFooter>
  <rowBreaks count="4" manualBreakCount="4">
    <brk id="49" max="6" man="1"/>
    <brk id="89" max="6" man="1"/>
    <brk id="104" max="6" man="1"/>
    <brk id="137" max="6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showGridLines="0" topLeftCell="A164" zoomScale="130" zoomScaleNormal="130" zoomScaleSheetLayoutView="235" workbookViewId="0">
      <selection activeCell="G24" sqref="G24"/>
    </sheetView>
  </sheetViews>
  <sheetFormatPr defaultColWidth="9.140625" defaultRowHeight="11.25" x14ac:dyDescent="0.15"/>
  <cols>
    <col min="1" max="1" width="5.85546875" style="1" customWidth="1"/>
    <col min="2" max="2" width="12.85546875" style="59" customWidth="1"/>
    <col min="3" max="4" width="8.85546875" style="51" customWidth="1"/>
    <col min="5" max="5" width="13" style="51" customWidth="1"/>
    <col min="6" max="6" width="12.140625" style="51" customWidth="1"/>
    <col min="7" max="7" width="18.28515625" style="2" customWidth="1"/>
    <col min="8" max="8" width="3.28515625" style="1" hidden="1" customWidth="1"/>
    <col min="9" max="9" width="8" style="1" hidden="1" customWidth="1"/>
    <col min="10" max="10" width="9.7109375" style="1" customWidth="1"/>
    <col min="11" max="12" width="9.140625" style="1" customWidth="1"/>
    <col min="13" max="13" width="10.28515625" style="1" customWidth="1"/>
    <col min="14" max="14" width="9.140625" style="1" customWidth="1"/>
    <col min="15" max="16384" width="9.140625" style="1"/>
  </cols>
  <sheetData>
    <row r="1" spans="1:8" ht="12.75" x14ac:dyDescent="0.2">
      <c r="H1"/>
    </row>
    <row r="2" spans="1:8" ht="18" x14ac:dyDescent="0.25">
      <c r="A2" s="570"/>
      <c r="B2" s="570"/>
      <c r="C2" s="570"/>
      <c r="D2" s="570"/>
      <c r="E2" s="570"/>
      <c r="F2" s="570"/>
      <c r="G2" s="570"/>
    </row>
    <row r="3" spans="1:8" ht="14.25" x14ac:dyDescent="0.2">
      <c r="A3" s="571"/>
      <c r="B3" s="571"/>
      <c r="C3" s="571"/>
      <c r="D3" s="571"/>
      <c r="E3" s="571"/>
      <c r="F3" s="571"/>
      <c r="G3" s="571"/>
    </row>
    <row r="4" spans="1:8" x14ac:dyDescent="0.15">
      <c r="B4" s="56"/>
      <c r="C4" s="5"/>
      <c r="D4" s="5"/>
      <c r="E4" s="5"/>
      <c r="F4" s="5"/>
      <c r="G4" s="3"/>
    </row>
    <row r="5" spans="1:8" s="4" customFormat="1" ht="15.75" x14ac:dyDescent="0.15">
      <c r="A5" s="572" t="s">
        <v>1</v>
      </c>
      <c r="B5" s="572"/>
      <c r="C5" s="572"/>
      <c r="D5" s="572"/>
      <c r="E5" s="572"/>
      <c r="F5" s="572"/>
      <c r="G5" s="572"/>
      <c r="H5" s="65"/>
    </row>
    <row r="6" spans="1:8" s="4" customFormat="1" ht="12.75" x14ac:dyDescent="0.15">
      <c r="A6" s="572" t="s">
        <v>277</v>
      </c>
      <c r="B6" s="572"/>
      <c r="C6" s="572"/>
      <c r="D6" s="572"/>
      <c r="E6" s="572"/>
      <c r="F6" s="572"/>
      <c r="G6" s="572"/>
    </row>
    <row r="7" spans="1:8" s="4" customFormat="1" ht="12.75" x14ac:dyDescent="0.15">
      <c r="A7" s="450"/>
      <c r="B7" s="450"/>
      <c r="C7" s="450"/>
      <c r="D7" s="450"/>
      <c r="E7" s="450"/>
      <c r="F7" s="450"/>
      <c r="G7" s="450"/>
    </row>
    <row r="8" spans="1:8" s="89" customFormat="1" ht="18" customHeight="1" x14ac:dyDescent="0.2">
      <c r="A8" s="228"/>
      <c r="B8" s="229"/>
      <c r="C8" s="228"/>
      <c r="D8" s="229"/>
      <c r="E8" s="124"/>
      <c r="F8" s="124"/>
      <c r="G8" s="88"/>
    </row>
    <row r="9" spans="1:8" s="89" customFormat="1" ht="18" customHeight="1" x14ac:dyDescent="0.2">
      <c r="A9" s="277" t="s">
        <v>266</v>
      </c>
      <c r="B9" s="229"/>
      <c r="C9" s="228"/>
      <c r="D9" s="229"/>
      <c r="E9" s="124"/>
      <c r="F9" s="124"/>
      <c r="G9" s="88"/>
    </row>
    <row r="10" spans="1:8" s="89" customFormat="1" ht="18" customHeight="1" x14ac:dyDescent="0.2">
      <c r="A10" s="452" t="s">
        <v>13</v>
      </c>
      <c r="B10" s="569" t="s">
        <v>200</v>
      </c>
      <c r="C10" s="569"/>
      <c r="D10" s="569"/>
      <c r="E10" s="569"/>
      <c r="F10" s="250" t="str">
        <f>PARAMETROS!C25</f>
        <v>Não</v>
      </c>
      <c r="G10" s="88"/>
    </row>
    <row r="11" spans="1:8" s="89" customFormat="1" ht="18" customHeight="1" x14ac:dyDescent="0.2">
      <c r="A11" s="452" t="s">
        <v>15</v>
      </c>
      <c r="B11" s="569" t="s">
        <v>227</v>
      </c>
      <c r="C11" s="569"/>
      <c r="D11" s="569"/>
      <c r="E11" s="569"/>
      <c r="F11" s="250" t="str">
        <f>PARAMETROS!C29</f>
        <v>Normal</v>
      </c>
      <c r="G11" s="88"/>
    </row>
    <row r="12" spans="1:8" s="89" customFormat="1" ht="18" customHeight="1" x14ac:dyDescent="0.2">
      <c r="A12" s="230"/>
      <c r="B12" s="232"/>
      <c r="C12" s="232"/>
      <c r="D12" s="232"/>
      <c r="E12" s="232"/>
      <c r="F12" s="124"/>
      <c r="G12" s="88"/>
    </row>
    <row r="13" spans="1:8" s="89" customFormat="1" ht="18" customHeight="1" x14ac:dyDescent="0.2">
      <c r="A13" s="277" t="s">
        <v>64</v>
      </c>
      <c r="B13" s="229"/>
      <c r="C13" s="228"/>
      <c r="D13" s="229"/>
      <c r="E13" s="124"/>
      <c r="F13" s="124"/>
      <c r="G13" s="88"/>
    </row>
    <row r="14" spans="1:8" s="89" customFormat="1" ht="32.450000000000003" customHeight="1" x14ac:dyDescent="0.2">
      <c r="A14" s="630" t="s">
        <v>65</v>
      </c>
      <c r="B14" s="630"/>
      <c r="C14" s="362" t="s">
        <v>66</v>
      </c>
      <c r="D14" s="452" t="s">
        <v>228</v>
      </c>
      <c r="E14" s="630" t="s">
        <v>67</v>
      </c>
      <c r="F14" s="630"/>
      <c r="G14" s="88"/>
    </row>
    <row r="15" spans="1:8" s="89" customFormat="1" ht="18" customHeight="1" x14ac:dyDescent="0.2">
      <c r="A15" s="628" t="str">
        <f>A6</f>
        <v>ANALISTA DE SISTEMAS – SENIOR</v>
      </c>
      <c r="B15" s="628"/>
      <c r="C15" s="453" t="s">
        <v>294</v>
      </c>
      <c r="D15" s="453">
        <v>1</v>
      </c>
      <c r="E15" s="629">
        <v>1</v>
      </c>
      <c r="F15" s="629"/>
      <c r="G15" s="88"/>
    </row>
    <row r="16" spans="1:8" s="89" customFormat="1" ht="18" customHeight="1" x14ac:dyDescent="0.2">
      <c r="A16" s="628"/>
      <c r="B16" s="628"/>
      <c r="C16" s="363"/>
      <c r="D16" s="363"/>
      <c r="E16" s="629"/>
      <c r="F16" s="629"/>
      <c r="G16" s="88"/>
    </row>
    <row r="17" spans="1:9" s="89" customFormat="1" ht="18" customHeight="1" x14ac:dyDescent="0.2">
      <c r="A17" s="628"/>
      <c r="B17" s="628"/>
      <c r="C17" s="363"/>
      <c r="D17" s="363"/>
      <c r="E17" s="629"/>
      <c r="F17" s="629"/>
      <c r="G17" s="88"/>
    </row>
    <row r="18" spans="1:9" s="89" customFormat="1" ht="18" customHeight="1" x14ac:dyDescent="0.2">
      <c r="A18" s="123"/>
      <c r="B18" s="86"/>
      <c r="C18" s="86"/>
      <c r="D18" s="124"/>
      <c r="E18" s="124"/>
      <c r="F18" s="124"/>
      <c r="G18" s="88"/>
    </row>
    <row r="19" spans="1:9" s="89" customFormat="1" ht="18" customHeight="1" x14ac:dyDescent="0.2">
      <c r="A19" s="276" t="s">
        <v>193</v>
      </c>
      <c r="B19" s="86"/>
      <c r="C19" s="86"/>
      <c r="D19" s="124"/>
      <c r="E19" s="124"/>
      <c r="F19" s="124"/>
      <c r="G19" s="88"/>
    </row>
    <row r="20" spans="1:9" s="89" customFormat="1" ht="18" customHeight="1" x14ac:dyDescent="0.2">
      <c r="A20" s="123" t="s">
        <v>194</v>
      </c>
      <c r="B20" s="86"/>
      <c r="C20" s="86"/>
      <c r="D20" s="124"/>
      <c r="E20" s="124"/>
      <c r="F20" s="124"/>
      <c r="G20" s="88"/>
    </row>
    <row r="21" spans="1:9" s="89" customFormat="1" ht="18" customHeight="1" x14ac:dyDescent="0.2">
      <c r="A21" s="90" t="s">
        <v>195</v>
      </c>
      <c r="B21" s="86"/>
      <c r="C21" s="86"/>
      <c r="D21" s="87"/>
      <c r="E21" s="87"/>
      <c r="F21" s="87"/>
      <c r="G21" s="88"/>
    </row>
    <row r="22" spans="1:9" s="7" customFormat="1" ht="24" customHeight="1" x14ac:dyDescent="0.2">
      <c r="A22" s="508" t="s">
        <v>216</v>
      </c>
      <c r="B22" s="509"/>
      <c r="C22" s="509"/>
      <c r="D22" s="509"/>
      <c r="E22" s="509"/>
      <c r="F22" s="510"/>
      <c r="G22" s="67" t="str">
        <f>A6</f>
        <v>ANALISTA DE SISTEMAS – SENIOR</v>
      </c>
    </row>
    <row r="23" spans="1:9" s="7" customFormat="1" ht="18" customHeight="1" x14ac:dyDescent="0.2">
      <c r="A23" s="178">
        <v>1</v>
      </c>
      <c r="B23" s="546" t="s">
        <v>71</v>
      </c>
      <c r="C23" s="546"/>
      <c r="D23" s="546"/>
      <c r="E23" s="546"/>
      <c r="F23" s="546"/>
      <c r="G23" s="189" t="str">
        <f>A15</f>
        <v>ANALISTA DE SISTEMAS – SENIOR</v>
      </c>
    </row>
    <row r="24" spans="1:9" s="7" customFormat="1" ht="25.5" customHeight="1" x14ac:dyDescent="0.2">
      <c r="A24" s="178">
        <v>2</v>
      </c>
      <c r="B24" s="563" t="s">
        <v>201</v>
      </c>
      <c r="C24" s="564"/>
      <c r="D24" s="564"/>
      <c r="E24" s="564"/>
      <c r="F24" s="565"/>
      <c r="G24" s="119"/>
    </row>
    <row r="25" spans="1:9" s="7" customFormat="1" ht="18" customHeight="1" x14ac:dyDescent="0.2">
      <c r="A25" s="178">
        <f t="shared" ref="A25:A28" si="0">A24+1</f>
        <v>3</v>
      </c>
      <c r="B25" s="546" t="s">
        <v>74</v>
      </c>
      <c r="C25" s="546"/>
      <c r="D25" s="546"/>
      <c r="E25" s="546"/>
      <c r="F25" s="546"/>
      <c r="G25" s="189" t="str">
        <f>A15</f>
        <v>ANALISTA DE SISTEMAS – SENIOR</v>
      </c>
    </row>
    <row r="26" spans="1:9" s="7" customFormat="1" ht="18" customHeight="1" x14ac:dyDescent="0.2">
      <c r="A26" s="178">
        <f t="shared" si="0"/>
        <v>4</v>
      </c>
      <c r="B26" s="546" t="s">
        <v>75</v>
      </c>
      <c r="C26" s="546"/>
      <c r="D26" s="546"/>
      <c r="E26" s="546"/>
      <c r="F26" s="546"/>
      <c r="G26" s="188">
        <v>44197</v>
      </c>
    </row>
    <row r="27" spans="1:9" s="7" customFormat="1" ht="18" customHeight="1" x14ac:dyDescent="0.2">
      <c r="A27" s="218">
        <f t="shared" si="0"/>
        <v>5</v>
      </c>
      <c r="B27" s="547" t="s">
        <v>76</v>
      </c>
      <c r="C27" s="547"/>
      <c r="D27" s="547"/>
      <c r="E27" s="547"/>
      <c r="F27" s="548"/>
      <c r="G27" s="233">
        <f>PARAMETROS!C23</f>
        <v>1212</v>
      </c>
    </row>
    <row r="28" spans="1:9" s="213" customFormat="1" ht="10.5" x14ac:dyDescent="0.2">
      <c r="A28" s="549">
        <f t="shared" si="0"/>
        <v>6</v>
      </c>
      <c r="B28" s="551" t="s">
        <v>77</v>
      </c>
      <c r="C28" s="552"/>
      <c r="D28" s="551" t="s">
        <v>223</v>
      </c>
      <c r="E28" s="552"/>
      <c r="F28" s="225" t="s">
        <v>215</v>
      </c>
      <c r="G28" s="212" t="s">
        <v>80</v>
      </c>
      <c r="I28" s="213" t="s">
        <v>81</v>
      </c>
    </row>
    <row r="29" spans="1:9" s="213" customFormat="1" ht="18.75" customHeight="1" x14ac:dyDescent="0.2">
      <c r="A29" s="550"/>
      <c r="B29" s="631">
        <f>PARAMETROS!C26</f>
        <v>0</v>
      </c>
      <c r="C29" s="632"/>
      <c r="D29" s="555">
        <f>IF(F11="12x36",0.03,0.06)</f>
        <v>0.06</v>
      </c>
      <c r="E29" s="556"/>
      <c r="F29" s="303">
        <f>PARAMETROS!C81</f>
        <v>20.92</v>
      </c>
      <c r="G29" s="443">
        <v>2</v>
      </c>
      <c r="H29" s="215" t="s">
        <v>82</v>
      </c>
      <c r="I29" s="213" t="s">
        <v>83</v>
      </c>
    </row>
    <row r="30" spans="1:9" s="7" customFormat="1" ht="18" customHeight="1" x14ac:dyDescent="0.2">
      <c r="A30" s="218">
        <f>A28+1</f>
        <v>7</v>
      </c>
      <c r="B30" s="557" t="s">
        <v>84</v>
      </c>
      <c r="C30" s="558"/>
      <c r="D30" s="219">
        <v>30</v>
      </c>
      <c r="E30" s="559" t="s">
        <v>85</v>
      </c>
      <c r="F30" s="560"/>
      <c r="G30" s="234">
        <f>ROUND(D30/6*30,0)</f>
        <v>150</v>
      </c>
    </row>
    <row r="31" spans="1:9" s="7" customFormat="1" ht="10.5" x14ac:dyDescent="0.2">
      <c r="A31" s="318"/>
      <c r="B31" s="321" t="s">
        <v>86</v>
      </c>
      <c r="C31" s="322"/>
      <c r="D31" s="323"/>
      <c r="E31" s="323"/>
      <c r="F31" s="324"/>
      <c r="G31" s="325"/>
      <c r="H31" s="209"/>
    </row>
    <row r="32" spans="1:9" s="7" customFormat="1" ht="10.5" x14ac:dyDescent="0.2">
      <c r="A32" s="326"/>
      <c r="B32" s="220" t="s">
        <v>87</v>
      </c>
      <c r="C32" s="208"/>
      <c r="D32" s="210"/>
      <c r="E32" s="210"/>
      <c r="F32" s="293"/>
      <c r="G32" s="327"/>
      <c r="H32" s="209"/>
    </row>
    <row r="33" spans="1:14" s="7" customFormat="1" ht="9" customHeight="1" x14ac:dyDescent="0.2">
      <c r="A33" s="122"/>
      <c r="B33" s="296"/>
      <c r="C33" s="447"/>
      <c r="D33" s="447"/>
      <c r="E33" s="447"/>
      <c r="F33" s="447"/>
      <c r="G33" s="117"/>
    </row>
    <row r="34" spans="1:14" s="89" customFormat="1" ht="30" customHeight="1" thickBot="1" x14ac:dyDescent="0.25">
      <c r="A34" s="614" t="s">
        <v>196</v>
      </c>
      <c r="B34" s="614"/>
      <c r="C34" s="614"/>
      <c r="D34" s="614"/>
      <c r="E34" s="615"/>
      <c r="F34" s="614"/>
      <c r="G34" s="614"/>
    </row>
    <row r="35" spans="1:14" s="7" customFormat="1" ht="18" customHeight="1" thickTop="1" thickBot="1" x14ac:dyDescent="0.25">
      <c r="A35" s="6" t="s">
        <v>10</v>
      </c>
      <c r="B35" s="62" t="s">
        <v>90</v>
      </c>
      <c r="C35" s="285"/>
      <c r="D35" s="285"/>
      <c r="E35" s="421" t="str">
        <f>"Regime: "&amp;F11</f>
        <v>Regime: Normal</v>
      </c>
      <c r="F35" s="19" t="s">
        <v>12</v>
      </c>
      <c r="G35" s="60" t="s">
        <v>47</v>
      </c>
    </row>
    <row r="36" spans="1:14" s="7" customFormat="1" ht="18" customHeight="1" thickTop="1" x14ac:dyDescent="0.2">
      <c r="A36" s="401" t="s">
        <v>13</v>
      </c>
      <c r="B36" s="616" t="s">
        <v>91</v>
      </c>
      <c r="C36" s="617"/>
      <c r="D36" s="617"/>
      <c r="E36" s="618"/>
      <c r="F36" s="402" t="s">
        <v>0</v>
      </c>
      <c r="G36" s="403">
        <f>G24</f>
        <v>0</v>
      </c>
    </row>
    <row r="37" spans="1:14" s="7" customFormat="1" ht="18" customHeight="1" x14ac:dyDescent="0.2">
      <c r="A37" s="350" t="s">
        <v>15</v>
      </c>
      <c r="B37" s="404" t="s">
        <v>92</v>
      </c>
      <c r="C37" s="405"/>
      <c r="D37" s="406" t="s">
        <v>238</v>
      </c>
      <c r="E37" s="406"/>
      <c r="F37" s="359" t="s">
        <v>8</v>
      </c>
      <c r="G37" s="353">
        <f>IF(F37="Sim",ROUND($G$36*MID(D37,17,2)/100,2),0)</f>
        <v>0</v>
      </c>
    </row>
    <row r="38" spans="1:14" s="7" customFormat="1" ht="18" customHeight="1" x14ac:dyDescent="0.2">
      <c r="A38" s="350" t="s">
        <v>17</v>
      </c>
      <c r="B38" s="404" t="s">
        <v>236</v>
      </c>
      <c r="C38" s="407"/>
      <c r="D38" s="406" t="s">
        <v>237</v>
      </c>
      <c r="E38" s="407"/>
      <c r="F38" s="408"/>
      <c r="G38" s="353">
        <f>ROUND($G$27*$F38,2)</f>
        <v>0</v>
      </c>
      <c r="N38" s="393"/>
    </row>
    <row r="39" spans="1:14" s="7" customFormat="1" ht="18" customHeight="1" x14ac:dyDescent="0.2">
      <c r="A39" s="350" t="s">
        <v>19</v>
      </c>
      <c r="B39" s="460" t="s">
        <v>257</v>
      </c>
      <c r="C39" s="418" t="s">
        <v>8</v>
      </c>
      <c r="D39" s="416" t="str">
        <f>IF(F39&gt;0,"("&amp;INT(F39)&amp;"h "&amp;ROUND((F39-INT(F39))*60,0)&amp;"min)=","")</f>
        <v/>
      </c>
      <c r="E39" s="420" t="str">
        <f>IF(F39&gt;0,"Quant. Horas 
normais (decimais) =","")</f>
        <v/>
      </c>
      <c r="F39" s="410"/>
      <c r="G39" s="411">
        <f>IF(AND(F11="12X36",C39="Sim"),ROUND(SUM(G36:G38)*(7/12)*0.2,2),ROUND((SUM(G36:G38)/G30)*0.2*F39,2))</f>
        <v>0</v>
      </c>
      <c r="M39" s="419"/>
      <c r="N39" s="393"/>
    </row>
    <row r="40" spans="1:14" s="7" customFormat="1" ht="18" customHeight="1" x14ac:dyDescent="0.2">
      <c r="A40" s="350" t="s">
        <v>21</v>
      </c>
      <c r="B40" s="414" t="s">
        <v>254</v>
      </c>
      <c r="C40" s="409"/>
      <c r="D40" s="412" t="str">
        <f>IF(F40&gt;0,"("&amp;INT(F40)&amp;"h "&amp;ROUND((F40-INT(F40))*60,0)&amp;"min)=","")</f>
        <v/>
      </c>
      <c r="E40" s="420" t="str">
        <f>IF(F40&gt;0,"Quant. Horas 
reduzidas (decimais)=","")</f>
        <v/>
      </c>
      <c r="F40" s="417">
        <f>IF(F39&gt;0,ROUND(((F39)*(8/7))-(F39),2),0)</f>
        <v>0</v>
      </c>
      <c r="G40" s="411">
        <f>ROUND((SUM(G36:G38)/G30)*0.2*F40,2)</f>
        <v>0</v>
      </c>
      <c r="M40" s="68"/>
      <c r="N40" s="394"/>
    </row>
    <row r="41" spans="1:14" s="7" customFormat="1" ht="18" customHeight="1" x14ac:dyDescent="0.2">
      <c r="A41" s="350" t="s">
        <v>23</v>
      </c>
      <c r="B41" s="619" t="s">
        <v>197</v>
      </c>
      <c r="C41" s="620"/>
      <c r="D41" s="620"/>
      <c r="E41" s="413"/>
      <c r="F41" s="351">
        <f>IF(ISNUMBER(E41),50%,0)</f>
        <v>0</v>
      </c>
      <c r="G41" s="352">
        <f>ROUND(SUM(G36:G40)/G30*1.5*E41,2)</f>
        <v>0</v>
      </c>
      <c r="M41" s="68"/>
      <c r="N41" s="394"/>
    </row>
    <row r="42" spans="1:14" s="7" customFormat="1" ht="18" customHeight="1" x14ac:dyDescent="0.2">
      <c r="A42" s="350"/>
      <c r="B42" s="625" t="s">
        <v>173</v>
      </c>
      <c r="C42" s="626"/>
      <c r="D42" s="626"/>
      <c r="E42" s="626"/>
      <c r="F42" s="351"/>
      <c r="G42" s="352">
        <f>SUM(G36:G41)</f>
        <v>0</v>
      </c>
    </row>
    <row r="43" spans="1:14" s="7" customFormat="1" ht="21.6" customHeight="1" x14ac:dyDescent="0.2">
      <c r="A43" s="360" t="s">
        <v>25</v>
      </c>
      <c r="B43" s="619" t="s">
        <v>229</v>
      </c>
      <c r="C43" s="620"/>
      <c r="D43" s="620"/>
      <c r="E43" s="620"/>
      <c r="F43" s="359" t="s">
        <v>8</v>
      </c>
      <c r="G43" s="353">
        <f>IF(F43="Sim",ROUND(SUM(G36:G38)/G30*1.5*F29,2),0)</f>
        <v>0</v>
      </c>
    </row>
    <row r="44" spans="1:14" s="7" customFormat="1" ht="21.6" customHeight="1" x14ac:dyDescent="0.2">
      <c r="A44" s="354" t="s">
        <v>27</v>
      </c>
      <c r="B44" s="355" t="s">
        <v>51</v>
      </c>
      <c r="C44" s="356"/>
      <c r="D44" s="356"/>
      <c r="E44" s="356"/>
      <c r="F44" s="357"/>
      <c r="G44" s="358"/>
    </row>
    <row r="45" spans="1:14" s="7" customFormat="1" ht="18" customHeight="1" x14ac:dyDescent="0.2">
      <c r="A45" s="13"/>
      <c r="B45" s="23" t="s">
        <v>29</v>
      </c>
      <c r="C45" s="52"/>
      <c r="D45" s="52"/>
      <c r="E45" s="52"/>
      <c r="F45" s="24"/>
      <c r="G45" s="160">
        <f>SUM(G42:G44)</f>
        <v>0</v>
      </c>
    </row>
    <row r="46" spans="1:14" x14ac:dyDescent="0.15">
      <c r="A46" s="531" t="s">
        <v>30</v>
      </c>
      <c r="B46" s="513"/>
      <c r="C46" s="513"/>
      <c r="D46" s="513"/>
      <c r="E46" s="513"/>
      <c r="F46" s="513"/>
      <c r="G46" s="532"/>
    </row>
    <row r="47" spans="1:14" s="116" customFormat="1" ht="9" x14ac:dyDescent="0.15">
      <c r="A47" s="348"/>
      <c r="B47" s="361"/>
      <c r="C47" s="348"/>
      <c r="D47" s="348"/>
      <c r="E47" s="348"/>
      <c r="F47" s="348"/>
      <c r="G47" s="348"/>
    </row>
    <row r="48" spans="1:14" s="18" customFormat="1" ht="18" customHeight="1" x14ac:dyDescent="0.15">
      <c r="A48" s="15"/>
      <c r="B48" s="57"/>
      <c r="C48" s="16"/>
      <c r="D48" s="16"/>
      <c r="E48" s="16"/>
      <c r="F48" s="16"/>
      <c r="G48" s="17"/>
    </row>
    <row r="49" spans="1:16" s="89" customFormat="1" ht="25.5" customHeight="1" x14ac:dyDescent="0.2">
      <c r="A49" s="614" t="s">
        <v>207</v>
      </c>
      <c r="B49" s="614"/>
      <c r="C49" s="614"/>
      <c r="D49" s="614"/>
      <c r="E49" s="614"/>
      <c r="F49" s="614"/>
      <c r="G49" s="614"/>
    </row>
    <row r="50" spans="1:16" s="18" customFormat="1" ht="25.5" customHeight="1" x14ac:dyDescent="0.15">
      <c r="A50" s="29" t="s">
        <v>98</v>
      </c>
      <c r="B50" s="517" t="s">
        <v>99</v>
      </c>
      <c r="C50" s="517"/>
      <c r="D50" s="623" t="str">
        <f>"Conta Vinculada? "&amp;PARAMETROS!$C$27</f>
        <v>Conta Vinculada? Sim</v>
      </c>
      <c r="E50" s="624"/>
      <c r="F50" s="19" t="s">
        <v>12</v>
      </c>
      <c r="G50" s="60" t="s">
        <v>47</v>
      </c>
    </row>
    <row r="51" spans="1:16" s="18" customFormat="1" ht="18" customHeight="1" x14ac:dyDescent="0.15">
      <c r="A51" s="8" t="s">
        <v>13</v>
      </c>
      <c r="B51" s="448" t="s">
        <v>222</v>
      </c>
      <c r="C51" s="339" t="s">
        <v>255</v>
      </c>
      <c r="D51" s="449"/>
      <c r="E51" s="449"/>
      <c r="F51" s="53">
        <f>1/12</f>
        <v>8.3333333333333329E-2</v>
      </c>
      <c r="G51" s="32">
        <f>ROUND($G$42*F51,2)</f>
        <v>0</v>
      </c>
      <c r="K51" s="64"/>
      <c r="N51" s="64"/>
      <c r="O51" s="64"/>
      <c r="P51" s="64"/>
    </row>
    <row r="52" spans="1:16" s="18" customFormat="1" ht="18" customHeight="1" x14ac:dyDescent="0.15">
      <c r="A52" s="299" t="s">
        <v>15</v>
      </c>
      <c r="B52" s="621" t="s">
        <v>206</v>
      </c>
      <c r="C52" s="622"/>
      <c r="D52" s="347" t="s">
        <v>199</v>
      </c>
      <c r="E52" s="346" t="str">
        <f>$F$10</f>
        <v>Não</v>
      </c>
      <c r="F52" s="367" t="str">
        <f>"Σ="&amp;FIXED(SUM(F53:F54)*100,2)&amp;"%"</f>
        <v>Σ=12,10%</v>
      </c>
      <c r="G52" s="368" t="str">
        <f>"Σ="&amp;FIXED(SUM(G53:G54),2)</f>
        <v>Σ=0,00</v>
      </c>
      <c r="O52" s="255"/>
    </row>
    <row r="53" spans="1:16" s="18" customFormat="1" ht="11.45" customHeight="1" x14ac:dyDescent="0.15">
      <c r="A53" s="10" t="s">
        <v>191</v>
      </c>
      <c r="B53" s="451" t="s">
        <v>204</v>
      </c>
      <c r="C53" s="302" t="str">
        <f>IF(RIGHT(D50,3)="Sim","(1÷11) =","(1÷12) =")</f>
        <v>(1÷11) =</v>
      </c>
      <c r="D53" s="297">
        <f>IF(E52="Sim","Prorrogado. Férias submódulo 4.1.A",IF(RIGHT(D50,3)="Sim",1/11,1/12))</f>
        <v>9.0909090909090912E-2</v>
      </c>
      <c r="E53" s="298"/>
      <c r="F53" s="312">
        <f>IF(E52="Sim",0,IF(RIGHT(D50,3)="Sim",0.09075,D53))</f>
        <v>9.0749999999999997E-2</v>
      </c>
      <c r="G53" s="33">
        <f>ROUND($G$42*F53,2)</f>
        <v>0</v>
      </c>
      <c r="N53" s="349"/>
      <c r="O53" s="255"/>
    </row>
    <row r="54" spans="1:16" s="18" customFormat="1" ht="11.45" customHeight="1" x14ac:dyDescent="0.15">
      <c r="A54" s="177" t="s">
        <v>192</v>
      </c>
      <c r="B54" s="300" t="s">
        <v>205</v>
      </c>
      <c r="C54" s="45"/>
      <c r="D54" s="302" t="str">
        <f>IF(RIGHT(D50,3)="Sim","(1÷3÷11) =","(1÷3÷12) =")</f>
        <v>(1÷3÷11) =</v>
      </c>
      <c r="E54" s="301">
        <f>IF(RIGHT(D50,3)="Sim",1/3/11,1/3/12)</f>
        <v>3.03030303030303E-2</v>
      </c>
      <c r="F54" s="313">
        <f>IF(RIGHT(D50,3)="Sim",0.03025,E54)</f>
        <v>3.0249999999999999E-2</v>
      </c>
      <c r="G54" s="33">
        <f>ROUND($G$42*F54,2)</f>
        <v>0</v>
      </c>
      <c r="K54" s="64"/>
      <c r="O54" s="255"/>
    </row>
    <row r="55" spans="1:16" s="237" customFormat="1" ht="18" customHeight="1" x14ac:dyDescent="0.15">
      <c r="A55" s="238"/>
      <c r="B55" s="239" t="s">
        <v>101</v>
      </c>
      <c r="C55" s="239"/>
      <c r="D55" s="239"/>
      <c r="E55" s="239"/>
      <c r="F55" s="240">
        <f>SUM(F51:F54)</f>
        <v>0.20433333333333331</v>
      </c>
      <c r="G55" s="241">
        <f>SUM(G51:G54)</f>
        <v>0</v>
      </c>
    </row>
    <row r="56" spans="1:16" s="18" customFormat="1" ht="16.149999999999999" customHeight="1" x14ac:dyDescent="0.15">
      <c r="A56" s="444"/>
      <c r="B56" s="444"/>
      <c r="C56" s="444"/>
      <c r="D56" s="444"/>
      <c r="E56" s="444"/>
      <c r="F56" s="444"/>
      <c r="G56" s="444"/>
    </row>
    <row r="57" spans="1:16" s="18" customFormat="1" ht="40.5" customHeight="1" x14ac:dyDescent="0.15">
      <c r="A57" s="28" t="s">
        <v>102</v>
      </c>
      <c r="B57" s="536" t="s">
        <v>256</v>
      </c>
      <c r="C57" s="536"/>
      <c r="D57" s="536"/>
      <c r="E57" s="536"/>
      <c r="F57" s="303" t="str">
        <f>"Optante do Simples? "&amp;PARAMETROS!C28</f>
        <v>Optante do Simples? Não</v>
      </c>
      <c r="G57" s="60" t="s">
        <v>47</v>
      </c>
      <c r="N57" s="349"/>
    </row>
    <row r="58" spans="1:16" s="18" customFormat="1" ht="18" customHeight="1" x14ac:dyDescent="0.15">
      <c r="A58" s="8" t="s">
        <v>13</v>
      </c>
      <c r="B58" s="448" t="s">
        <v>14</v>
      </c>
      <c r="C58" s="627" t="s">
        <v>200</v>
      </c>
      <c r="D58" s="627"/>
      <c r="E58" s="422" t="str">
        <f>$F$10</f>
        <v>Não</v>
      </c>
      <c r="F58" s="335">
        <f>PARAMETROS!C33</f>
        <v>0.2</v>
      </c>
      <c r="G58" s="33">
        <f t="shared" ref="G58:G65" si="1">IF($E$58="Não",ROUND(($G$42+$G$51)*SUM(F58),2),ROUND(($G$42+$G$51+$G$54)*SUM(F58),2))</f>
        <v>0</v>
      </c>
      <c r="M58" s="64"/>
      <c r="O58" s="64"/>
    </row>
    <row r="59" spans="1:16" s="18" customFormat="1" ht="18" customHeight="1" x14ac:dyDescent="0.15">
      <c r="A59" s="10" t="s">
        <v>15</v>
      </c>
      <c r="B59" s="446" t="s">
        <v>16</v>
      </c>
      <c r="C59" s="447"/>
      <c r="D59" s="320" t="s">
        <v>208</v>
      </c>
      <c r="E59" s="340" t="s">
        <v>221</v>
      </c>
      <c r="F59" s="336">
        <f>IF(RIGHT($F$57,3)="Sim","",PARAMETROS!C34)</f>
        <v>2.5000000000000001E-2</v>
      </c>
      <c r="G59" s="33">
        <f t="shared" si="1"/>
        <v>0</v>
      </c>
    </row>
    <row r="60" spans="1:16" s="18" customFormat="1" ht="18" customHeight="1" x14ac:dyDescent="0.15">
      <c r="A60" s="10" t="s">
        <v>17</v>
      </c>
      <c r="B60" s="446" t="s">
        <v>220</v>
      </c>
      <c r="C60" s="447"/>
      <c r="D60" s="341">
        <v>0.03</v>
      </c>
      <c r="E60" s="342">
        <v>0.01</v>
      </c>
      <c r="F60" s="336">
        <f>D60*E60*100</f>
        <v>0.03</v>
      </c>
      <c r="G60" s="33">
        <f t="shared" si="1"/>
        <v>0</v>
      </c>
    </row>
    <row r="61" spans="1:16" s="18" customFormat="1" ht="18" customHeight="1" x14ac:dyDescent="0.15">
      <c r="A61" s="10" t="s">
        <v>19</v>
      </c>
      <c r="B61" s="446" t="s">
        <v>20</v>
      </c>
      <c r="C61" s="447"/>
      <c r="D61" s="447"/>
      <c r="E61" s="447"/>
      <c r="F61" s="336">
        <f>IF(RIGHT($F$57,3)="Sim","",PARAMETROS!C36)</f>
        <v>1.4999999999999999E-2</v>
      </c>
      <c r="G61" s="33">
        <f t="shared" si="1"/>
        <v>0</v>
      </c>
    </row>
    <row r="62" spans="1:16" s="18" customFormat="1" ht="18" customHeight="1" x14ac:dyDescent="0.15">
      <c r="A62" s="10" t="s">
        <v>21</v>
      </c>
      <c r="B62" s="446" t="s">
        <v>22</v>
      </c>
      <c r="E62" s="447"/>
      <c r="F62" s="336">
        <f>IF(RIGHT($F$57,3)="Sim","",PARAMETROS!C37)</f>
        <v>0.01</v>
      </c>
      <c r="G62" s="33">
        <f t="shared" si="1"/>
        <v>0</v>
      </c>
    </row>
    <row r="63" spans="1:16" s="18" customFormat="1" ht="18" customHeight="1" x14ac:dyDescent="0.15">
      <c r="A63" s="10" t="s">
        <v>23</v>
      </c>
      <c r="B63" s="446" t="s">
        <v>24</v>
      </c>
      <c r="C63" s="447"/>
      <c r="D63" s="447"/>
      <c r="E63" s="447"/>
      <c r="F63" s="336">
        <f>IF(RIGHT($F$57,3)="Sim","",PARAMETROS!C38)</f>
        <v>6.0000000000000001E-3</v>
      </c>
      <c r="G63" s="33">
        <f t="shared" si="1"/>
        <v>0</v>
      </c>
    </row>
    <row r="64" spans="1:16" s="18" customFormat="1" ht="18" customHeight="1" x14ac:dyDescent="0.15">
      <c r="A64" s="10" t="s">
        <v>25</v>
      </c>
      <c r="B64" s="446" t="s">
        <v>26</v>
      </c>
      <c r="C64" s="447"/>
      <c r="D64" s="447"/>
      <c r="E64" s="447"/>
      <c r="F64" s="336">
        <f>IF(RIGHT($F$57,3)="Sim","",PARAMETROS!C39)</f>
        <v>2E-3</v>
      </c>
      <c r="G64" s="33">
        <f t="shared" si="1"/>
        <v>0</v>
      </c>
    </row>
    <row r="65" spans="1:15" s="18" customFormat="1" ht="18" customHeight="1" x14ac:dyDescent="0.15">
      <c r="A65" s="177" t="s">
        <v>27</v>
      </c>
      <c r="B65" s="273" t="s">
        <v>28</v>
      </c>
      <c r="C65" s="274"/>
      <c r="D65" s="274"/>
      <c r="E65" s="274"/>
      <c r="F65" s="337">
        <f>PARAMETROS!C40</f>
        <v>0.08</v>
      </c>
      <c r="G65" s="33">
        <f t="shared" si="1"/>
        <v>0</v>
      </c>
    </row>
    <row r="66" spans="1:15" s="18" customFormat="1" ht="18" customHeight="1" x14ac:dyDescent="0.15">
      <c r="A66" s="318"/>
      <c r="B66" s="320" t="s">
        <v>101</v>
      </c>
      <c r="C66" s="319"/>
      <c r="D66" s="319"/>
      <c r="E66" s="319"/>
      <c r="F66" s="338">
        <f>SUM(F58:F65)</f>
        <v>0.36800000000000005</v>
      </c>
      <c r="G66" s="9">
        <f>SUM(G58:G65)</f>
        <v>0</v>
      </c>
    </row>
    <row r="67" spans="1:15" s="18" customFormat="1" ht="15" customHeight="1" x14ac:dyDescent="0.15">
      <c r="E67" s="364"/>
    </row>
    <row r="68" spans="1:15" s="18" customFormat="1" ht="25.5" customHeight="1" x14ac:dyDescent="0.15">
      <c r="A68" s="29" t="s">
        <v>32</v>
      </c>
      <c r="B68" s="509" t="s">
        <v>104</v>
      </c>
      <c r="C68" s="509"/>
      <c r="D68" s="509"/>
      <c r="E68" s="509"/>
      <c r="F68" s="303" t="s">
        <v>232</v>
      </c>
      <c r="G68" s="60" t="s">
        <v>47</v>
      </c>
      <c r="N68" s="364"/>
    </row>
    <row r="69" spans="1:15" s="7" customFormat="1" ht="30" customHeight="1" x14ac:dyDescent="0.2">
      <c r="A69" s="401" t="s">
        <v>13</v>
      </c>
      <c r="B69" s="604" t="s">
        <v>230</v>
      </c>
      <c r="C69" s="605"/>
      <c r="D69" s="605"/>
      <c r="E69" s="605"/>
      <c r="F69" s="454" t="s">
        <v>139</v>
      </c>
      <c r="G69" s="455">
        <f>ROUND(IF((G24*D29)&gt;(B29*F29*G29),B29*F29*G29,(B29*F29*G29)-(G24*D29)),2)</f>
        <v>0</v>
      </c>
      <c r="H69" s="68" t="s">
        <v>106</v>
      </c>
      <c r="I69" s="68"/>
      <c r="N69" s="365"/>
    </row>
    <row r="70" spans="1:15" s="7" customFormat="1" ht="18" customHeight="1" x14ac:dyDescent="0.2">
      <c r="A70" s="350" t="s">
        <v>15</v>
      </c>
      <c r="B70" s="456" t="str">
        <f>PARAMETROS!B47</f>
        <v>Auxílio alimentação (Vales, cesta básica etc.) - 11ª</v>
      </c>
      <c r="C70" s="457"/>
      <c r="D70" s="457"/>
      <c r="E70" s="457"/>
      <c r="F70" s="458" t="s">
        <v>139</v>
      </c>
      <c r="G70" s="459">
        <f>PARAMETROS!C47</f>
        <v>0</v>
      </c>
      <c r="H70" s="68" t="s">
        <v>107</v>
      </c>
      <c r="I70" s="68">
        <f>B29*G29*22</f>
        <v>0</v>
      </c>
      <c r="K70" s="68"/>
      <c r="L70" s="68"/>
      <c r="O70" s="68"/>
    </row>
    <row r="71" spans="1:15" s="7" customFormat="1" ht="18" customHeight="1" x14ac:dyDescent="0.2">
      <c r="A71" s="350" t="s">
        <v>17</v>
      </c>
      <c r="B71" s="606" t="str">
        <f>PARAMETROS!B48</f>
        <v>Auxílio Morte/Funeral (1 sal.x3%÷12x3 = 0,0075) - 13ª</v>
      </c>
      <c r="C71" s="607"/>
      <c r="D71" s="607"/>
      <c r="E71" s="608"/>
      <c r="F71" s="458"/>
      <c r="G71" s="461">
        <f>ROUND(PARAMETROS!C48*G24,2)</f>
        <v>0</v>
      </c>
      <c r="H71" s="68" t="s">
        <v>108</v>
      </c>
      <c r="I71" s="68">
        <f>G24*0.06</f>
        <v>0</v>
      </c>
      <c r="J71" s="68"/>
    </row>
    <row r="72" spans="1:15" s="7" customFormat="1" ht="18" customHeight="1" x14ac:dyDescent="0.2">
      <c r="A72" s="350" t="s">
        <v>19</v>
      </c>
      <c r="B72" s="456" t="str">
        <f>PARAMETROS!B49</f>
        <v>Treinamento (Prog. Qual. Trabalhador) - 21ª</v>
      </c>
      <c r="C72" s="457"/>
      <c r="D72" s="457"/>
      <c r="E72" s="457"/>
      <c r="F72" s="458"/>
      <c r="G72" s="459">
        <f>PARAMETROS!C49</f>
        <v>0</v>
      </c>
    </row>
    <row r="73" spans="1:15" s="7" customFormat="1" ht="18" customHeight="1" x14ac:dyDescent="0.2">
      <c r="A73" s="350" t="s">
        <v>21</v>
      </c>
      <c r="B73" s="456" t="str">
        <f>PARAMETROS!B50</f>
        <v>EPI's (R$ 7,00) - 22ª</v>
      </c>
      <c r="C73" s="457"/>
      <c r="D73" s="457"/>
      <c r="E73" s="457"/>
      <c r="F73" s="458"/>
      <c r="G73" s="459">
        <f>PARAMETROS!C50</f>
        <v>0</v>
      </c>
    </row>
    <row r="74" spans="1:15" s="7" customFormat="1" ht="18" customHeight="1" x14ac:dyDescent="0.2">
      <c r="A74" s="350" t="s">
        <v>23</v>
      </c>
      <c r="B74" s="456" t="str">
        <f>PARAMETROS!B51</f>
        <v>Seguro de vida e acidente trabalho - 24ª</v>
      </c>
      <c r="C74" s="457"/>
      <c r="D74" s="457"/>
      <c r="E74" s="457"/>
      <c r="F74" s="458"/>
      <c r="G74" s="459">
        <f>PARAMETROS!C51</f>
        <v>0</v>
      </c>
    </row>
    <row r="75" spans="1:15" s="7" customFormat="1" ht="18" customHeight="1" x14ac:dyDescent="0.2">
      <c r="A75" s="350" t="s">
        <v>25</v>
      </c>
      <c r="B75" s="456" t="str">
        <f>PARAMETROS!B52</f>
        <v>PCMSO, PPRA e CIPA - 33ª</v>
      </c>
      <c r="C75" s="457"/>
      <c r="D75" s="457"/>
      <c r="E75" s="457"/>
      <c r="F75" s="458"/>
      <c r="G75" s="459">
        <f>PARAMETROS!C52</f>
        <v>0</v>
      </c>
    </row>
    <row r="76" spans="1:15" s="7" customFormat="1" ht="18" customHeight="1" x14ac:dyDescent="0.2">
      <c r="A76" s="350" t="s">
        <v>27</v>
      </c>
      <c r="B76" s="456" t="str">
        <f>PARAMETROS!B53</f>
        <v>Estojo primeiros socorros (R$ 4,00 por empregado) - 36ª</v>
      </c>
      <c r="C76" s="457"/>
      <c r="D76" s="457"/>
      <c r="E76" s="457"/>
      <c r="F76" s="458" t="s">
        <v>139</v>
      </c>
      <c r="G76" s="459">
        <f>PARAMETROS!C53</f>
        <v>0</v>
      </c>
    </row>
    <row r="77" spans="1:15" s="7" customFormat="1" ht="18" customHeight="1" x14ac:dyDescent="0.2">
      <c r="A77" s="354" t="s">
        <v>10</v>
      </c>
      <c r="B77" s="462" t="str">
        <f>PARAMETROS!B54</f>
        <v/>
      </c>
      <c r="C77" s="463"/>
      <c r="D77" s="463"/>
      <c r="E77" s="463"/>
      <c r="F77" s="464"/>
      <c r="G77" s="465">
        <f>PARAMETROS!C54</f>
        <v>0</v>
      </c>
    </row>
    <row r="78" spans="1:15" s="7" customFormat="1" ht="18" customHeight="1" x14ac:dyDescent="0.2">
      <c r="A78" s="150"/>
      <c r="B78" s="151" t="s">
        <v>29</v>
      </c>
      <c r="C78" s="152"/>
      <c r="D78" s="152"/>
      <c r="E78" s="152"/>
      <c r="F78" s="241">
        <f>SUMIF(F69:F77,"Sim",G69:G77)</f>
        <v>0</v>
      </c>
      <c r="G78" s="9">
        <f>SUM(G69:G77)</f>
        <v>0</v>
      </c>
    </row>
    <row r="79" spans="1:15" s="18" customFormat="1" ht="10.5" x14ac:dyDescent="0.15">
      <c r="A79" s="503" t="s">
        <v>43</v>
      </c>
      <c r="B79" s="487"/>
      <c r="C79" s="487"/>
      <c r="D79" s="487"/>
      <c r="E79" s="487"/>
      <c r="F79" s="487"/>
      <c r="G79" s="504"/>
    </row>
    <row r="80" spans="1:15" s="18" customFormat="1" ht="17.45" customHeight="1" x14ac:dyDescent="0.15">
      <c r="A80" s="599" t="s">
        <v>44</v>
      </c>
      <c r="B80" s="488"/>
      <c r="C80" s="488"/>
      <c r="D80" s="488"/>
      <c r="E80" s="488"/>
      <c r="F80" s="488"/>
      <c r="G80" s="600"/>
    </row>
    <row r="81" spans="1:14" s="18" customFormat="1" ht="10.15" customHeight="1" x14ac:dyDescent="0.15">
      <c r="A81" s="609" t="s">
        <v>231</v>
      </c>
      <c r="B81" s="610"/>
      <c r="C81" s="610"/>
      <c r="D81" s="610"/>
      <c r="E81" s="610"/>
      <c r="F81" s="610"/>
      <c r="G81" s="611"/>
    </row>
    <row r="82" spans="1:14" s="18" customFormat="1" ht="24" customHeight="1" x14ac:dyDescent="0.15">
      <c r="A82" s="70"/>
      <c r="B82" s="70"/>
      <c r="C82" s="70"/>
      <c r="D82" s="70"/>
      <c r="E82" s="70"/>
      <c r="F82" s="70"/>
      <c r="G82" s="70"/>
    </row>
    <row r="83" spans="1:14" s="133" customFormat="1" ht="24" customHeight="1" x14ac:dyDescent="0.15">
      <c r="A83" s="195" t="s">
        <v>109</v>
      </c>
      <c r="B83" s="196"/>
      <c r="C83" s="197"/>
      <c r="D83" s="197"/>
      <c r="E83" s="197"/>
      <c r="F83" s="197"/>
      <c r="G83" s="198"/>
    </row>
    <row r="84" spans="1:14" s="134" customFormat="1" ht="24" customHeight="1" x14ac:dyDescent="0.15">
      <c r="A84" s="199">
        <v>2</v>
      </c>
      <c r="B84" s="200" t="s">
        <v>110</v>
      </c>
      <c r="C84" s="201"/>
      <c r="D84" s="201"/>
      <c r="E84" s="201"/>
      <c r="F84" s="201"/>
      <c r="G84" s="202"/>
    </row>
    <row r="85" spans="1:14" s="133" customFormat="1" ht="24" customHeight="1" x14ac:dyDescent="0.15">
      <c r="A85" s="178" t="s">
        <v>98</v>
      </c>
      <c r="B85" s="196" t="s">
        <v>111</v>
      </c>
      <c r="C85" s="197"/>
      <c r="D85" s="197"/>
      <c r="E85" s="197"/>
      <c r="F85" s="434"/>
      <c r="G85" s="203">
        <f>G55</f>
        <v>0</v>
      </c>
    </row>
    <row r="86" spans="1:14" s="133" customFormat="1" ht="24" customHeight="1" x14ac:dyDescent="0.15">
      <c r="A86" s="178" t="s">
        <v>102</v>
      </c>
      <c r="B86" s="196" t="s">
        <v>112</v>
      </c>
      <c r="C86" s="197"/>
      <c r="D86" s="197"/>
      <c r="E86" s="197"/>
      <c r="F86" s="434"/>
      <c r="G86" s="203">
        <f>G66</f>
        <v>0</v>
      </c>
    </row>
    <row r="87" spans="1:14" s="133" customFormat="1" ht="24" customHeight="1" x14ac:dyDescent="0.15">
      <c r="A87" s="178" t="s">
        <v>32</v>
      </c>
      <c r="B87" s="196" t="s">
        <v>113</v>
      </c>
      <c r="C87" s="197"/>
      <c r="D87" s="197"/>
      <c r="E87" s="197"/>
      <c r="F87" s="434"/>
      <c r="G87" s="203">
        <f>G78</f>
        <v>0</v>
      </c>
    </row>
    <row r="88" spans="1:14" s="133" customFormat="1" ht="18" customHeight="1" x14ac:dyDescent="0.15">
      <c r="A88" s="204"/>
      <c r="B88" s="205" t="s">
        <v>114</v>
      </c>
      <c r="C88" s="205"/>
      <c r="D88" s="206" t="s">
        <v>101</v>
      </c>
      <c r="E88" s="205"/>
      <c r="F88" s="435"/>
      <c r="G88" s="31">
        <f>SUM(G85:G87)</f>
        <v>0</v>
      </c>
    </row>
    <row r="89" spans="1:14" s="18" customFormat="1" ht="12.75" customHeight="1" x14ac:dyDescent="0.15">
      <c r="A89" s="25"/>
      <c r="B89" s="58"/>
      <c r="C89" s="26"/>
      <c r="D89" s="26"/>
      <c r="E89" s="26"/>
      <c r="F89" s="26"/>
      <c r="G89" s="27"/>
      <c r="N89" s="317"/>
    </row>
    <row r="90" spans="1:14" s="89" customFormat="1" ht="40.15" customHeight="1" x14ac:dyDescent="0.2">
      <c r="A90" s="612" t="s">
        <v>233</v>
      </c>
      <c r="B90" s="612"/>
      <c r="C90" s="612"/>
      <c r="D90" s="612"/>
      <c r="E90" s="612"/>
      <c r="F90" s="612"/>
      <c r="G90" s="612"/>
    </row>
    <row r="91" spans="1:14" s="18" customFormat="1" ht="28.9" customHeight="1" x14ac:dyDescent="0.15">
      <c r="A91" s="28">
        <v>3</v>
      </c>
      <c r="B91" s="517" t="str">
        <f>IF(F10="Sim","Submódulo - Provisão para Rescisão - PRORROGADO", "Submódulo - Provisão para Rescisão")</f>
        <v>Submódulo - Provisão para Rescisão</v>
      </c>
      <c r="C91" s="517"/>
      <c r="D91" s="517"/>
      <c r="E91" s="67" t="s">
        <v>117</v>
      </c>
      <c r="F91" s="155" t="s">
        <v>118</v>
      </c>
      <c r="G91" s="392" t="str">
        <f>PARAMETROS!B27&amp;" "&amp;PARAMETROS!C27</f>
        <v>Conta Vinculada? Sim</v>
      </c>
      <c r="K91" s="364"/>
    </row>
    <row r="92" spans="1:14" s="18" customFormat="1" ht="18" customHeight="1" x14ac:dyDescent="0.15">
      <c r="A92" s="601" t="s">
        <v>234</v>
      </c>
      <c r="B92" s="602"/>
      <c r="C92" s="602"/>
      <c r="D92" s="602"/>
      <c r="E92" s="603"/>
      <c r="F92" s="72">
        <v>0</v>
      </c>
      <c r="G92" s="391" t="s">
        <v>47</v>
      </c>
    </row>
    <row r="93" spans="1:14" s="18" customFormat="1" ht="31.9" customHeight="1" x14ac:dyDescent="0.15">
      <c r="A93" s="8" t="s">
        <v>13</v>
      </c>
      <c r="B93" s="518" t="str">
        <f>"Aviso prévio indenizado (probabilidade utilizada = "&amp;(F93*100)&amp;"%)."</f>
        <v>Aviso prévio indenizado (probabilidade utilizada = 5,55%).</v>
      </c>
      <c r="C93" s="519"/>
      <c r="D93" s="613"/>
      <c r="E93" s="343">
        <f>(((1+(1/12)+(1/12)+(1/12/3))*F93)+(((1/30)*3*1)*F92     ))/12</f>
        <v>5.524305555555554E-3</v>
      </c>
      <c r="F93" s="72">
        <v>5.5500000000000001E-2</v>
      </c>
      <c r="G93" s="32">
        <f>ROUND(((SUM(($G$42+($G$42/12)+($G$42/12)+($G$42/12/3)))*F93)+(($G$42/30*3*1)*F92))/12,2)</f>
        <v>0</v>
      </c>
      <c r="H93" s="66"/>
      <c r="I93" s="64"/>
      <c r="K93" s="256"/>
      <c r="M93" s="64"/>
      <c r="N93" s="64">
        <f>M93/12</f>
        <v>0</v>
      </c>
    </row>
    <row r="94" spans="1:14" s="18" customFormat="1" ht="37.9" customHeight="1" x14ac:dyDescent="0.15">
      <c r="A94" s="10" t="s">
        <v>15</v>
      </c>
      <c r="B94" s="496" t="s">
        <v>119</v>
      </c>
      <c r="C94" s="497"/>
      <c r="D94" s="585"/>
      <c r="E94" s="344">
        <f>(((1+(1/12))*F93)+(((1/30)*3*1)*F92    ))/12*F94</f>
        <v>4.0083333333333334E-4</v>
      </c>
      <c r="F94" s="53">
        <f>IF(F93&gt;0,F65,0)</f>
        <v>0.08</v>
      </c>
      <c r="G94" s="33">
        <f>ROUND(((SUM(G42+G51)*F93)+((G42/30)*3*1)*F92)/12*0.08,2)</f>
        <v>0</v>
      </c>
      <c r="H94" s="64"/>
      <c r="K94" s="256"/>
      <c r="L94" s="66"/>
      <c r="M94" s="437"/>
    </row>
    <row r="95" spans="1:14" s="18" customFormat="1" ht="18.75" customHeight="1" x14ac:dyDescent="0.15">
      <c r="A95" s="10" t="s">
        <v>17</v>
      </c>
      <c r="B95" s="496" t="s">
        <v>120</v>
      </c>
      <c r="C95" s="497"/>
      <c r="D95" s="585"/>
      <c r="E95" s="252"/>
      <c r="F95" s="53"/>
      <c r="G95" s="75" t="s">
        <v>0</v>
      </c>
      <c r="H95" s="66"/>
      <c r="L95" s="64"/>
      <c r="M95" s="66"/>
    </row>
    <row r="96" spans="1:14" s="18" customFormat="1" ht="10.5" x14ac:dyDescent="0.15">
      <c r="A96" s="74" t="s">
        <v>121</v>
      </c>
      <c r="B96" s="589" t="s">
        <v>122</v>
      </c>
      <c r="C96" s="590"/>
      <c r="D96" s="591"/>
      <c r="E96" s="254">
        <f>IF(RIGHT(G91,3)="Não",E94*F96,0.02)</f>
        <v>0.02</v>
      </c>
      <c r="F96" s="385">
        <f>IF(F93&gt;0,0.4,0)</f>
        <v>0.4</v>
      </c>
      <c r="G96" s="33">
        <f>IF(RIGHT(G91,3)="Não",ROUND(G94*F96,2),ROUND(G42*E96*F96,2))</f>
        <v>0</v>
      </c>
      <c r="H96" s="66"/>
      <c r="I96" s="64">
        <f>G98*10</f>
        <v>0</v>
      </c>
      <c r="K96" s="256"/>
      <c r="M96" s="64"/>
    </row>
    <row r="97" spans="1:15" s="18" customFormat="1" ht="21.6" hidden="1" customHeight="1" x14ac:dyDescent="0.15">
      <c r="A97" s="369" t="s">
        <v>123</v>
      </c>
      <c r="B97" s="592" t="s">
        <v>198</v>
      </c>
      <c r="C97" s="593"/>
      <c r="D97" s="370" t="s">
        <v>8</v>
      </c>
      <c r="E97" s="371">
        <f>E94*F97</f>
        <v>0</v>
      </c>
      <c r="F97" s="386">
        <f>IF(D97="Sim",10%,0)</f>
        <v>0</v>
      </c>
      <c r="G97" s="372">
        <f>ROUND($G$42*E97,2)</f>
        <v>0</v>
      </c>
      <c r="H97" s="64"/>
      <c r="K97" s="256"/>
      <c r="L97" s="255"/>
    </row>
    <row r="98" spans="1:15" s="18" customFormat="1" ht="29.25" customHeight="1" x14ac:dyDescent="0.15">
      <c r="A98" s="10" t="s">
        <v>19</v>
      </c>
      <c r="B98" s="522" t="str">
        <f>"Aviso prévio trabalhado (ocorrência = "&amp;(F98*100)&amp;"%) - "&amp;I98&amp;"(*)"</f>
        <v>Aviso prévio trabalhado (ocorrência = 100%) - 1º ANO DE CONTRATO(*)</v>
      </c>
      <c r="C98" s="523"/>
      <c r="D98" s="594"/>
      <c r="E98" s="388">
        <f>IF(F10="Não",1/30*7/12,1/30*3/12)</f>
        <v>1.9444444444444445E-2</v>
      </c>
      <c r="F98" s="387">
        <v>1</v>
      </c>
      <c r="G98" s="33">
        <f>ROUND(     (G$42+G78-F78)    *E98*F98,2)</f>
        <v>0</v>
      </c>
      <c r="H98" s="64"/>
      <c r="I98" s="18" t="str">
        <f>IF(PARAMETROS!C25="Sim", "APÓS PRORROGAÇÃO", "1º ANO DE CONTRATO")</f>
        <v>1º ANO DE CONTRATO</v>
      </c>
      <c r="K98" s="256"/>
      <c r="L98" s="64"/>
      <c r="M98" s="255"/>
    </row>
    <row r="99" spans="1:15" s="18" customFormat="1" ht="33.6" customHeight="1" x14ac:dyDescent="0.15">
      <c r="A99" s="10" t="s">
        <v>21</v>
      </c>
      <c r="B99" s="496" t="s">
        <v>217</v>
      </c>
      <c r="C99" s="497"/>
      <c r="D99" s="585"/>
      <c r="E99" s="253">
        <f>E98*F66</f>
        <v>7.1555555555555565E-3</v>
      </c>
      <c r="F99" s="53"/>
      <c r="G99" s="33">
        <f>ROUND(G$42 *E99*F98,2)</f>
        <v>0</v>
      </c>
      <c r="H99" s="66"/>
      <c r="I99" s="64"/>
      <c r="K99" s="256"/>
      <c r="L99" s="317"/>
      <c r="M99" s="115"/>
    </row>
    <row r="100" spans="1:15" s="18" customFormat="1" ht="20.45" customHeight="1" x14ac:dyDescent="0.15">
      <c r="A100" s="10" t="s">
        <v>23</v>
      </c>
      <c r="B100" s="522" t="s">
        <v>235</v>
      </c>
      <c r="C100" s="523"/>
      <c r="D100" s="594"/>
      <c r="E100" s="251"/>
      <c r="F100" s="53"/>
      <c r="G100" s="75" t="s">
        <v>0</v>
      </c>
      <c r="I100" s="115"/>
      <c r="M100" s="64"/>
    </row>
    <row r="101" spans="1:15" s="18" customFormat="1" ht="10.5" x14ac:dyDescent="0.15">
      <c r="A101" s="74" t="s">
        <v>127</v>
      </c>
      <c r="B101" s="589" t="s">
        <v>122</v>
      </c>
      <c r="C101" s="590"/>
      <c r="D101" s="591"/>
      <c r="E101" s="385">
        <f>IF(RIGHT(G91,3)="Não", E98*F65*F101,0.02)</f>
        <v>0.02</v>
      </c>
      <c r="F101" s="53">
        <f>IF(F98&gt;0,40%,0)</f>
        <v>0.4</v>
      </c>
      <c r="G101" s="389">
        <f>G42*E101</f>
        <v>0</v>
      </c>
      <c r="I101" s="186"/>
      <c r="K101" s="390"/>
      <c r="L101" s="390"/>
      <c r="M101" s="436"/>
      <c r="N101" s="64"/>
    </row>
    <row r="102" spans="1:15" s="18" customFormat="1" ht="13.15" hidden="1" customHeight="1" x14ac:dyDescent="0.15">
      <c r="A102" s="373" t="s">
        <v>128</v>
      </c>
      <c r="B102" s="595" t="s">
        <v>198</v>
      </c>
      <c r="C102" s="596"/>
      <c r="D102" s="374" t="s">
        <v>8</v>
      </c>
      <c r="E102" s="375">
        <f>(1 + 0.0833 + 0.0833 + 0.0278) * F102*F$94*0.9*0.5</f>
        <v>0</v>
      </c>
      <c r="F102" s="376">
        <f>IF(D102="Sim",10%,0)</f>
        <v>0</v>
      </c>
      <c r="G102" s="377">
        <f>ROUND($G$45*E102,2)</f>
        <v>0</v>
      </c>
      <c r="H102" s="66"/>
      <c r="I102" s="64"/>
      <c r="K102" s="256"/>
      <c r="L102" s="256"/>
    </row>
    <row r="103" spans="1:15" s="18" customFormat="1" ht="18.75" hidden="1" customHeight="1" x14ac:dyDescent="0.15">
      <c r="A103" s="378" t="s">
        <v>25</v>
      </c>
      <c r="B103" s="598" t="s">
        <v>258</v>
      </c>
      <c r="C103" s="598"/>
      <c r="D103" s="598"/>
      <c r="E103" s="379"/>
      <c r="F103" s="380"/>
      <c r="G103" s="381"/>
      <c r="H103" s="66"/>
      <c r="I103" s="64"/>
      <c r="K103" s="256"/>
      <c r="L103" s="256"/>
    </row>
    <row r="104" spans="1:15" s="84" customFormat="1" ht="18" customHeight="1" x14ac:dyDescent="0.15">
      <c r="A104" s="179"/>
      <c r="B104" s="285" t="s">
        <v>101</v>
      </c>
      <c r="C104" s="285"/>
      <c r="D104" s="285"/>
      <c r="E104" s="285"/>
      <c r="F104" s="159"/>
      <c r="G104" s="160">
        <f>SUM(G93:G102)</f>
        <v>0</v>
      </c>
    </row>
    <row r="105" spans="1:15" s="18" customFormat="1" ht="12.75" customHeight="1" x14ac:dyDescent="0.15">
      <c r="A105" s="25"/>
      <c r="B105" s="58"/>
      <c r="C105" s="26"/>
      <c r="D105" s="26"/>
      <c r="E105" s="26"/>
      <c r="F105" s="26"/>
      <c r="G105" s="27"/>
    </row>
    <row r="106" spans="1:15" s="89" customFormat="1" ht="18" customHeight="1" x14ac:dyDescent="0.2">
      <c r="A106" s="123" t="s">
        <v>129</v>
      </c>
      <c r="B106" s="86"/>
      <c r="C106" s="86"/>
      <c r="D106" s="124"/>
      <c r="E106" s="124"/>
      <c r="F106" s="124"/>
      <c r="G106" s="88"/>
    </row>
    <row r="107" spans="1:15" s="18" customFormat="1" ht="24" customHeight="1" x14ac:dyDescent="0.2">
      <c r="A107" s="28" t="s">
        <v>130</v>
      </c>
      <c r="B107" s="597" t="str">
        <f>"Submódulo - Substituto nas Ausências Legais  - Vinculada? "&amp;PARAMETROS!$C$27</f>
        <v>Submódulo - Substituto nas Ausências Legais  - Vinculada? Sim</v>
      </c>
      <c r="C107" s="517"/>
      <c r="D107" s="517"/>
      <c r="E107" s="182" t="s">
        <v>259</v>
      </c>
      <c r="F107" s="257" t="s">
        <v>265</v>
      </c>
      <c r="G107" s="121" t="s">
        <v>47</v>
      </c>
      <c r="I107" s="314" t="s">
        <v>218</v>
      </c>
    </row>
    <row r="108" spans="1:15" s="18" customFormat="1" ht="28.9" customHeight="1" x14ac:dyDescent="0.15">
      <c r="A108" s="8" t="s">
        <v>13</v>
      </c>
      <c r="B108" s="541" t="s">
        <v>263</v>
      </c>
      <c r="C108" s="542"/>
      <c r="D108" s="542"/>
      <c r="E108" s="424" t="str">
        <f>(IF(RIGHT(B114,3)="Sim",1/11,"Somente na prorrogação"))</f>
        <v>Somente na prorrogação</v>
      </c>
      <c r="F108" s="427" t="str">
        <f>(IF(RIGHT(B114,3)="Sim",1,"Somente na prorrogação"))</f>
        <v>Somente na prorrogação</v>
      </c>
      <c r="G108" s="428" t="str">
        <f>IF(RIGHT(B114,3)="Não","Somente na prorrogação",ROUND(((G42+G88+G104+G136-F78-F136)/F29),2))</f>
        <v>Somente na prorrogação</v>
      </c>
      <c r="H108" s="66"/>
      <c r="I108" s="64"/>
      <c r="K108" s="64"/>
      <c r="M108" s="66"/>
      <c r="N108" s="64"/>
      <c r="O108" s="64"/>
    </row>
    <row r="109" spans="1:15" s="18" customFormat="1" ht="28.9" customHeight="1" x14ac:dyDescent="0.15">
      <c r="A109" s="10" t="s">
        <v>15</v>
      </c>
      <c r="B109" s="496" t="str">
        <f>"Substituto nas Ausências legais ("&amp;(F109)&amp;" faltas/ano)"</f>
        <v>Substituto nas Ausências legais (8 faltas/ano)</v>
      </c>
      <c r="C109" s="497"/>
      <c r="D109" s="497"/>
      <c r="E109" s="425">
        <f>ROUND((F109/30/12),4)</f>
        <v>2.2200000000000001E-2</v>
      </c>
      <c r="F109" s="259">
        <v>8</v>
      </c>
      <c r="G109" s="33">
        <f>(G42+G88+G104)/30/12*F109</f>
        <v>0</v>
      </c>
      <c r="H109" s="66"/>
      <c r="I109" s="64"/>
      <c r="M109" s="66"/>
      <c r="N109" s="66"/>
    </row>
    <row r="110" spans="1:15" s="18" customFormat="1" ht="28.9" customHeight="1" x14ac:dyDescent="0.15">
      <c r="A110" s="10" t="s">
        <v>17</v>
      </c>
      <c r="B110" s="496" t="str">
        <f>"Substituto Licença paternidade (probabilidade de ocorrência = "&amp;(F110*100)&amp;"%/ano)"</f>
        <v>Substituto Licença paternidade (probabilidade de ocorrência = 2%/ano)</v>
      </c>
      <c r="C110" s="497"/>
      <c r="D110" s="497"/>
      <c r="E110" s="425">
        <f>ROUND((5/30/12) * F110,4)</f>
        <v>2.9999999999999997E-4</v>
      </c>
      <c r="F110" s="258">
        <v>0.02</v>
      </c>
      <c r="G110" s="33">
        <f>ROUND(G$45/30*5/12*F110,2)</f>
        <v>0</v>
      </c>
      <c r="N110" s="64"/>
    </row>
    <row r="111" spans="1:15" s="18" customFormat="1" ht="28.9" customHeight="1" x14ac:dyDescent="0.15">
      <c r="A111" s="10" t="s">
        <v>19</v>
      </c>
      <c r="B111" s="496" t="str">
        <f>"Substituto Ausência por acidente de trabalho (probabilidade de ocorrência = "&amp;(F111)&amp;" Faltas/ano)"</f>
        <v>Substituto Ausência por acidente de trabalho (probabilidade de ocorrência = 5 Faltas/ano)</v>
      </c>
      <c r="C111" s="497"/>
      <c r="D111" s="585"/>
      <c r="E111" s="425">
        <f>ROUND((F111/30/12 ),4)</f>
        <v>1.3899999999999999E-2</v>
      </c>
      <c r="F111" s="259">
        <v>5</v>
      </c>
      <c r="G111" s="33">
        <f>((G45)+G88+G104)/30/12*F111</f>
        <v>0</v>
      </c>
      <c r="H111" s="64"/>
      <c r="N111" s="64"/>
    </row>
    <row r="112" spans="1:15" s="18" customFormat="1" ht="28.9" customHeight="1" x14ac:dyDescent="0.15">
      <c r="A112" s="10" t="s">
        <v>21</v>
      </c>
      <c r="B112" s="496" t="str">
        <f>"Substituto Licença maternidade (probabilidade de ocorrência = "&amp;(F112*100)&amp;"% ao ano)"</f>
        <v>Substituto Licença maternidade (probabilidade de ocorrência = 5,28% ao ano)</v>
      </c>
      <c r="C112" s="497"/>
      <c r="D112" s="585"/>
      <c r="E112" s="425">
        <f>((1/12)+(1/3/12)) * F112 * (6/12)</f>
        <v>2.9333333333333334E-3</v>
      </c>
      <c r="F112" s="258">
        <v>5.28E-2</v>
      </c>
      <c r="G112" s="33">
        <f>ROUND(G$45/30*5/12*F112,2)</f>
        <v>0</v>
      </c>
    </row>
    <row r="113" spans="1:14" s="18" customFormat="1" ht="28.9" customHeight="1" x14ac:dyDescent="0.15">
      <c r="A113" s="10" t="s">
        <v>23</v>
      </c>
      <c r="B113" s="586" t="s">
        <v>133</v>
      </c>
      <c r="C113" s="587"/>
      <c r="D113" s="588"/>
      <c r="E113" s="426"/>
      <c r="F113" s="315" t="s">
        <v>0</v>
      </c>
      <c r="G113" s="34"/>
      <c r="H113" s="64"/>
    </row>
    <row r="114" spans="1:14" s="18" customFormat="1" ht="18" customHeight="1" x14ac:dyDescent="0.15">
      <c r="A114" s="318"/>
      <c r="B114" s="423" t="str">
        <f>"Contrato prorrogado? "&amp;F10</f>
        <v>Contrato prorrogado? Não</v>
      </c>
      <c r="C114" s="286"/>
      <c r="D114" s="286"/>
      <c r="E114" s="180" t="s">
        <v>260</v>
      </c>
      <c r="F114" s="47"/>
      <c r="G114" s="11">
        <f>SUM(G108:G113)</f>
        <v>0</v>
      </c>
      <c r="K114" s="255"/>
      <c r="L114" s="255"/>
    </row>
    <row r="115" spans="1:14" s="18" customFormat="1" ht="10.5" x14ac:dyDescent="0.15">
      <c r="A115" s="328"/>
      <c r="B115" s="328"/>
      <c r="C115" s="328"/>
      <c r="D115" s="328"/>
      <c r="E115" s="328"/>
      <c r="F115" s="328"/>
      <c r="G115" s="328"/>
    </row>
    <row r="116" spans="1:14" s="18" customFormat="1" ht="24" customHeight="1" x14ac:dyDescent="0.15">
      <c r="A116" s="29" t="s">
        <v>136</v>
      </c>
      <c r="B116" s="508" t="s">
        <v>137</v>
      </c>
      <c r="C116" s="509"/>
      <c r="D116" s="509"/>
      <c r="E116" s="509"/>
      <c r="F116" s="510"/>
      <c r="G116" s="121" t="s">
        <v>47</v>
      </c>
    </row>
    <row r="117" spans="1:14" s="18" customFormat="1" ht="22.5" customHeight="1" x14ac:dyDescent="0.15">
      <c r="A117" s="8" t="s">
        <v>13</v>
      </c>
      <c r="B117" s="527" t="s">
        <v>138</v>
      </c>
      <c r="C117" s="528"/>
      <c r="D117" s="528"/>
      <c r="E117" s="528"/>
      <c r="F117" s="287" t="s">
        <v>8</v>
      </c>
      <c r="G117" s="32" t="str">
        <f>IF(F117="Sim",ROUND(G$45/$G$30*22*(F118*24),4),"")</f>
        <v/>
      </c>
      <c r="H117" s="66"/>
      <c r="I117" s="64"/>
    </row>
    <row r="118" spans="1:14" s="18" customFormat="1" ht="22.5" customHeight="1" x14ac:dyDescent="0.15">
      <c r="A118" s="177" t="s">
        <v>140</v>
      </c>
      <c r="B118" s="498" t="s">
        <v>141</v>
      </c>
      <c r="C118" s="499"/>
      <c r="D118" s="499"/>
      <c r="E118" s="499"/>
      <c r="F118" s="157">
        <v>4.1666666666666664E-2</v>
      </c>
      <c r="G118" s="34"/>
      <c r="H118" s="64"/>
      <c r="N118" s="115"/>
    </row>
    <row r="119" spans="1:14" s="18" customFormat="1" ht="18" customHeight="1" x14ac:dyDescent="0.15">
      <c r="A119" s="316"/>
      <c r="B119" s="205" t="s">
        <v>101</v>
      </c>
      <c r="C119" s="205"/>
      <c r="D119" s="205"/>
      <c r="E119" s="205"/>
      <c r="F119" s="207"/>
      <c r="G119" s="12">
        <f>SUM(G117:G118)</f>
        <v>0</v>
      </c>
    </row>
    <row r="120" spans="1:14" s="18" customFormat="1" ht="10.5" x14ac:dyDescent="0.15">
      <c r="A120" s="531" t="s">
        <v>142</v>
      </c>
      <c r="B120" s="513"/>
      <c r="C120" s="513"/>
      <c r="D120" s="513"/>
      <c r="E120" s="513"/>
      <c r="F120" s="513"/>
      <c r="G120" s="532"/>
    </row>
    <row r="121" spans="1:14" s="18" customFormat="1" ht="10.5" x14ac:dyDescent="0.15">
      <c r="A121" s="582" t="s">
        <v>219</v>
      </c>
      <c r="B121" s="583"/>
      <c r="C121" s="583"/>
      <c r="D121" s="583"/>
      <c r="E121" s="583"/>
      <c r="F121" s="583"/>
      <c r="G121" s="584"/>
    </row>
    <row r="122" spans="1:14" s="18" customFormat="1" ht="17.25" customHeight="1" x14ac:dyDescent="0.15">
      <c r="A122" s="70"/>
      <c r="B122" s="70"/>
      <c r="C122" s="70"/>
      <c r="D122" s="70"/>
      <c r="E122" s="70"/>
      <c r="F122" s="70"/>
      <c r="G122" s="70"/>
    </row>
    <row r="123" spans="1:14" s="133" customFormat="1" ht="24" customHeight="1" x14ac:dyDescent="0.15">
      <c r="A123" s="135" t="s">
        <v>144</v>
      </c>
      <c r="B123" s="141"/>
      <c r="C123" s="142"/>
      <c r="D123" s="142"/>
      <c r="E123" s="142"/>
      <c r="F123" s="142"/>
      <c r="G123" s="143"/>
    </row>
    <row r="124" spans="1:14" s="134" customFormat="1" ht="24" customHeight="1" x14ac:dyDescent="0.15">
      <c r="A124" s="136">
        <v>4</v>
      </c>
      <c r="B124" s="137" t="s">
        <v>110</v>
      </c>
      <c r="C124" s="138"/>
      <c r="D124" s="138"/>
      <c r="E124" s="138"/>
      <c r="F124" s="138"/>
      <c r="G124" s="139"/>
    </row>
    <row r="125" spans="1:14" s="133" customFormat="1" ht="24" customHeight="1" x14ac:dyDescent="0.15">
      <c r="A125" s="140" t="s">
        <v>130</v>
      </c>
      <c r="B125" s="141" t="s">
        <v>145</v>
      </c>
      <c r="C125" s="142"/>
      <c r="D125" s="142"/>
      <c r="E125" s="142"/>
      <c r="F125" s="143"/>
      <c r="G125" s="149">
        <f>G114</f>
        <v>0</v>
      </c>
    </row>
    <row r="126" spans="1:14" s="133" customFormat="1" ht="24" customHeight="1" x14ac:dyDescent="0.15">
      <c r="A126" s="140" t="s">
        <v>136</v>
      </c>
      <c r="B126" s="141" t="s">
        <v>146</v>
      </c>
      <c r="C126" s="142"/>
      <c r="D126" s="142"/>
      <c r="E126" s="142"/>
      <c r="F126" s="143"/>
      <c r="G126" s="149">
        <f>G119</f>
        <v>0</v>
      </c>
    </row>
    <row r="127" spans="1:14" s="133" customFormat="1" ht="24" customHeight="1" x14ac:dyDescent="0.15">
      <c r="A127" s="140"/>
      <c r="B127" s="141"/>
      <c r="C127" s="142"/>
      <c r="D127" s="142"/>
      <c r="E127" s="142"/>
      <c r="F127" s="143"/>
      <c r="G127" s="149"/>
    </row>
    <row r="128" spans="1:14" s="133" customFormat="1" ht="18" customHeight="1" x14ac:dyDescent="0.15">
      <c r="A128" s="147"/>
      <c r="B128" s="144" t="s">
        <v>114</v>
      </c>
      <c r="C128" s="144"/>
      <c r="D128" s="148" t="s">
        <v>101</v>
      </c>
      <c r="E128" s="144"/>
      <c r="F128" s="145"/>
      <c r="G128" s="146">
        <f>SUM(G125:G127)</f>
        <v>0</v>
      </c>
    </row>
    <row r="129" spans="1:9" s="18" customFormat="1" ht="18" customHeight="1" x14ac:dyDescent="0.15">
      <c r="A129" s="25"/>
      <c r="B129" s="58"/>
      <c r="C129" s="26"/>
      <c r="D129" s="26"/>
      <c r="E129" s="26"/>
      <c r="F129" s="26"/>
      <c r="G129" s="27"/>
    </row>
    <row r="130" spans="1:9" s="129" customFormat="1" ht="18" customHeight="1" x14ac:dyDescent="0.2">
      <c r="A130" s="123" t="s">
        <v>45</v>
      </c>
      <c r="B130" s="126"/>
      <c r="C130" s="126"/>
      <c r="D130" s="127"/>
      <c r="E130" s="127"/>
      <c r="F130" s="127"/>
      <c r="G130" s="128"/>
    </row>
    <row r="131" spans="1:9" s="130" customFormat="1" ht="18" customHeight="1" x14ac:dyDescent="0.2">
      <c r="A131" s="6">
        <v>5</v>
      </c>
      <c r="B131" s="62" t="s">
        <v>46</v>
      </c>
      <c r="C131" s="285"/>
      <c r="D131" s="285"/>
      <c r="E131" s="285"/>
      <c r="F131" s="429" t="s">
        <v>261</v>
      </c>
      <c r="G131" s="60" t="s">
        <v>47</v>
      </c>
    </row>
    <row r="132" spans="1:9" s="130" customFormat="1" ht="18" customHeight="1" x14ac:dyDescent="0.2">
      <c r="A132" s="8" t="s">
        <v>13</v>
      </c>
      <c r="B132" s="448" t="s">
        <v>48</v>
      </c>
      <c r="C132" s="449"/>
      <c r="D132" s="449"/>
      <c r="E132" s="449"/>
      <c r="F132" s="430"/>
      <c r="G132" s="161">
        <f>PARAMETROS!C59</f>
        <v>0</v>
      </c>
      <c r="I132" s="131"/>
    </row>
    <row r="133" spans="1:9" s="130" customFormat="1" ht="18" customHeight="1" x14ac:dyDescent="0.2">
      <c r="A133" s="10" t="s">
        <v>15</v>
      </c>
      <c r="B133" s="446" t="s">
        <v>49</v>
      </c>
      <c r="C133" s="447"/>
      <c r="D133" s="447"/>
      <c r="E133" s="447"/>
      <c r="F133" s="431" t="s">
        <v>139</v>
      </c>
      <c r="G133" s="161">
        <f>PARAMETROS!C60</f>
        <v>0</v>
      </c>
    </row>
    <row r="134" spans="1:9" s="130" customFormat="1" ht="18" customHeight="1" x14ac:dyDescent="0.2">
      <c r="A134" s="10" t="s">
        <v>17</v>
      </c>
      <c r="B134" s="446" t="s">
        <v>50</v>
      </c>
      <c r="C134" s="447"/>
      <c r="D134" s="447"/>
      <c r="E134" s="447"/>
      <c r="F134" s="431" t="s">
        <v>139</v>
      </c>
      <c r="G134" s="161">
        <f>PARAMETROS!C61</f>
        <v>0</v>
      </c>
    </row>
    <row r="135" spans="1:9" s="130" customFormat="1" ht="18" customHeight="1" x14ac:dyDescent="0.2">
      <c r="A135" s="177" t="s">
        <v>25</v>
      </c>
      <c r="B135" s="273" t="s">
        <v>51</v>
      </c>
      <c r="C135" s="274"/>
      <c r="D135" s="274"/>
      <c r="E135" s="274"/>
      <c r="F135" s="432"/>
      <c r="G135" s="161">
        <f>PARAMETROS!C62</f>
        <v>0</v>
      </c>
    </row>
    <row r="136" spans="1:9" s="130" customFormat="1" ht="18" customHeight="1" x14ac:dyDescent="0.2">
      <c r="A136" s="13"/>
      <c r="B136" s="180" t="s">
        <v>29</v>
      </c>
      <c r="C136" s="52"/>
      <c r="D136" s="52"/>
      <c r="E136" s="52"/>
      <c r="F136" s="433">
        <f>SUMIF(F132:F135,"Sim",G132:G135)</f>
        <v>0</v>
      </c>
      <c r="G136" s="14">
        <f>SUM(G132:G135)</f>
        <v>0</v>
      </c>
    </row>
    <row r="137" spans="1:9" s="76" customFormat="1" ht="15.75" customHeight="1" x14ac:dyDescent="0.15">
      <c r="A137" s="77"/>
      <c r="B137" s="78"/>
      <c r="C137" s="77"/>
      <c r="D137" s="77"/>
      <c r="E137" s="77"/>
      <c r="F137" s="77"/>
      <c r="G137" s="77"/>
    </row>
    <row r="138" spans="1:9" s="89" customFormat="1" ht="18" customHeight="1" x14ac:dyDescent="0.2">
      <c r="A138" s="85" t="s">
        <v>149</v>
      </c>
      <c r="B138" s="86"/>
      <c r="C138" s="86"/>
      <c r="D138" s="87"/>
      <c r="E138" s="87"/>
      <c r="F138" s="87"/>
      <c r="G138" s="88"/>
    </row>
    <row r="139" spans="1:9" s="18" customFormat="1" ht="18" customHeight="1" x14ac:dyDescent="0.15">
      <c r="A139" s="28">
        <v>6</v>
      </c>
      <c r="B139" s="61" t="s">
        <v>150</v>
      </c>
      <c r="C139" s="445"/>
      <c r="D139" s="445"/>
      <c r="E139" s="445"/>
      <c r="F139" s="54" t="s">
        <v>12</v>
      </c>
      <c r="G139" s="60" t="s">
        <v>47</v>
      </c>
    </row>
    <row r="140" spans="1:9" s="18" customFormat="1" ht="19.5" customHeight="1" x14ac:dyDescent="0.15">
      <c r="A140" s="8" t="s">
        <v>13</v>
      </c>
      <c r="B140" s="489" t="s">
        <v>151</v>
      </c>
      <c r="C140" s="490"/>
      <c r="D140" s="490"/>
      <c r="E140" s="490"/>
      <c r="F140" s="72">
        <v>0.1</v>
      </c>
      <c r="G140" s="91">
        <f>ROUND(($G$45+$G$88+$G$104+$G$128+$G$136)*F140,2)</f>
        <v>0</v>
      </c>
      <c r="H140" s="64"/>
    </row>
    <row r="141" spans="1:9" s="18" customFormat="1" ht="19.5" customHeight="1" x14ac:dyDescent="0.15">
      <c r="A141" s="179" t="s">
        <v>15</v>
      </c>
      <c r="B141" s="489" t="s">
        <v>264</v>
      </c>
      <c r="C141" s="490"/>
      <c r="D141" s="490"/>
      <c r="E141" s="490"/>
      <c r="F141" s="92">
        <v>0.1</v>
      </c>
      <c r="G141" s="91">
        <f>ROUND(($G$45+$G$88+$G$104+$G$128+$G$136+$G$140)*F141,2)</f>
        <v>0</v>
      </c>
    </row>
    <row r="142" spans="1:9" s="18" customFormat="1" ht="18" customHeight="1" x14ac:dyDescent="0.15">
      <c r="A142" s="179" t="s">
        <v>17</v>
      </c>
      <c r="B142" s="63" t="s">
        <v>153</v>
      </c>
      <c r="C142" s="93"/>
      <c r="D142" s="93"/>
      <c r="E142" s="93"/>
      <c r="F142" s="35">
        <f>SUM(F144:F149)</f>
        <v>8.6499999999999994E-2</v>
      </c>
      <c r="G142" s="36"/>
    </row>
    <row r="143" spans="1:9" s="18" customFormat="1" ht="18" customHeight="1" x14ac:dyDescent="0.15">
      <c r="A143" s="179"/>
      <c r="B143" s="63" t="s">
        <v>154</v>
      </c>
      <c r="C143" s="93"/>
      <c r="D143" s="93"/>
      <c r="E143" s="93"/>
      <c r="F143" s="35"/>
      <c r="G143" s="31"/>
    </row>
    <row r="144" spans="1:9" s="18" customFormat="1" ht="18" customHeight="1" x14ac:dyDescent="0.15">
      <c r="A144" s="10"/>
      <c r="B144" s="162" t="s">
        <v>155</v>
      </c>
      <c r="C144" s="163"/>
      <c r="D144" s="163"/>
      <c r="E144" s="163"/>
      <c r="F144" s="164">
        <v>6.4999999999999997E-3</v>
      </c>
      <c r="G144" s="165">
        <f>ROUND($G$153*F144,2)</f>
        <v>0</v>
      </c>
    </row>
    <row r="145" spans="1:15" s="18" customFormat="1" ht="18" customHeight="1" x14ac:dyDescent="0.15">
      <c r="A145" s="10"/>
      <c r="B145" s="162" t="s">
        <v>156</v>
      </c>
      <c r="C145" s="163"/>
      <c r="D145" s="163"/>
      <c r="E145" s="163"/>
      <c r="F145" s="164">
        <v>0.03</v>
      </c>
      <c r="G145" s="165">
        <f>ROUND($G$153*F145,2)</f>
        <v>0</v>
      </c>
    </row>
    <row r="146" spans="1:15" s="18" customFormat="1" ht="18" customHeight="1" x14ac:dyDescent="0.15">
      <c r="A146" s="179"/>
      <c r="B146" s="63" t="s">
        <v>157</v>
      </c>
      <c r="C146" s="93"/>
      <c r="D146" s="93"/>
      <c r="E146" s="93"/>
      <c r="F146" s="92"/>
      <c r="G146" s="160"/>
    </row>
    <row r="147" spans="1:15" s="18" customFormat="1" ht="18" customHeight="1" x14ac:dyDescent="0.15">
      <c r="A147" s="179"/>
      <c r="B147" s="63" t="s">
        <v>158</v>
      </c>
      <c r="C147" s="93"/>
      <c r="D147" s="93"/>
      <c r="E147" s="93"/>
      <c r="F147" s="35"/>
      <c r="G147" s="160"/>
    </row>
    <row r="148" spans="1:15" s="18" customFormat="1" ht="18" customHeight="1" x14ac:dyDescent="0.15">
      <c r="A148" s="8"/>
      <c r="B148" s="166" t="s">
        <v>159</v>
      </c>
      <c r="C148" s="168"/>
      <c r="D148" s="168"/>
      <c r="E148" s="168"/>
      <c r="F148" s="167">
        <v>0.05</v>
      </c>
      <c r="G148" s="165">
        <f>ROUND($G$153*F148,2)</f>
        <v>0</v>
      </c>
    </row>
    <row r="149" spans="1:15" s="18" customFormat="1" ht="18" customHeight="1" x14ac:dyDescent="0.15">
      <c r="A149" s="179"/>
      <c r="B149" s="63" t="s">
        <v>160</v>
      </c>
      <c r="C149" s="93"/>
      <c r="D149" s="93"/>
      <c r="E149" s="93"/>
      <c r="F149" s="35"/>
      <c r="G149" s="14"/>
    </row>
    <row r="150" spans="1:15" s="18" customFormat="1" ht="18" customHeight="1" x14ac:dyDescent="0.15">
      <c r="A150" s="179"/>
      <c r="B150" s="285" t="s">
        <v>101</v>
      </c>
      <c r="C150" s="285"/>
      <c r="D150" s="285"/>
      <c r="E150" s="285"/>
      <c r="F150" s="35"/>
      <c r="G150" s="31">
        <f>SUM(G140:G149)</f>
        <v>0</v>
      </c>
      <c r="N150" s="64"/>
      <c r="O150" s="64"/>
    </row>
    <row r="151" spans="1:15" s="7" customFormat="1" ht="18" customHeight="1" x14ac:dyDescent="0.2">
      <c r="A151" s="38" t="str">
        <f>"a) F = Tributos (%) /100"&amp;" = "&amp;(F142*100)&amp;"% / 100 = "&amp;ROUND((F142*100)/100,4)</f>
        <v>a) F = Tributos (%) /100 = 8,65% / 100 = 0,0865</v>
      </c>
      <c r="B151" s="39"/>
      <c r="C151" s="39"/>
      <c r="D151" s="39"/>
      <c r="E151" s="39"/>
      <c r="F151" s="39"/>
      <c r="G151" s="40"/>
      <c r="H151" s="49"/>
      <c r="I151" s="50"/>
    </row>
    <row r="152" spans="1:15" s="7" customFormat="1" ht="18" customHeight="1" x14ac:dyDescent="0.2">
      <c r="A152" s="42" t="s">
        <v>161</v>
      </c>
      <c r="B152" s="41"/>
      <c r="C152" s="41"/>
      <c r="D152" s="41"/>
      <c r="E152" s="41"/>
      <c r="F152" s="41"/>
      <c r="G152" s="37">
        <f>ROUND(($G$45+$G$88+$G$104+$G$128+$G$136+$G$140+$G$141),2)</f>
        <v>0</v>
      </c>
      <c r="H152" s="46"/>
      <c r="I152" s="50"/>
      <c r="N152" s="68"/>
      <c r="O152" s="68"/>
    </row>
    <row r="153" spans="1:15" s="7" customFormat="1" ht="18" customHeight="1" x14ac:dyDescent="0.2">
      <c r="A153" s="42" t="str">
        <f>"c) PF= P / (1 - F) = P  / (1 - "&amp;F142&amp;") =  P / "&amp;(1-F142)&amp;" = "</f>
        <v xml:space="preserve">c) PF= P / (1 - F) = P  / (1 - 0,0865) =  P / 0,9135 = </v>
      </c>
      <c r="B153" s="41"/>
      <c r="C153" s="41"/>
      <c r="D153" s="41"/>
      <c r="E153" s="41"/>
      <c r="F153" s="41"/>
      <c r="G153" s="37">
        <f>ROUND(G152/ (1-$F142),2)</f>
        <v>0</v>
      </c>
      <c r="H153" s="46"/>
      <c r="I153" s="50"/>
      <c r="O153" s="68"/>
    </row>
    <row r="154" spans="1:15" s="7" customFormat="1" ht="18" customHeight="1" x14ac:dyDescent="0.2">
      <c r="A154" s="43" t="str">
        <f>"VALOR DOS TRIBUTOS = PF - P =  "</f>
        <v xml:space="preserve">VALOR DOS TRIBUTOS = PF - P =  </v>
      </c>
      <c r="B154" s="44"/>
      <c r="C154" s="44"/>
      <c r="D154" s="44"/>
      <c r="E154" s="44"/>
      <c r="F154" s="45"/>
      <c r="G154" s="48">
        <f>G153-G152</f>
        <v>0</v>
      </c>
      <c r="H154" s="46"/>
      <c r="I154" s="50"/>
    </row>
    <row r="155" spans="1:15" s="7" customFormat="1" ht="10.5" x14ac:dyDescent="0.2">
      <c r="A155" s="329" t="s">
        <v>162</v>
      </c>
      <c r="B155" s="330" t="s">
        <v>163</v>
      </c>
      <c r="C155" s="331"/>
      <c r="D155" s="331"/>
      <c r="E155" s="331"/>
      <c r="F155" s="39"/>
      <c r="G155" s="332"/>
      <c r="H155" s="46"/>
      <c r="I155" s="50"/>
    </row>
    <row r="156" spans="1:15" s="7" customFormat="1" ht="10.5" x14ac:dyDescent="0.2">
      <c r="A156" s="333"/>
      <c r="B156" s="79" t="s">
        <v>164</v>
      </c>
      <c r="C156" s="95"/>
      <c r="D156" s="95"/>
      <c r="E156" s="95"/>
      <c r="F156" s="41"/>
      <c r="G156" s="334"/>
      <c r="H156" s="46"/>
      <c r="I156" s="50"/>
    </row>
    <row r="157" spans="1:15" s="7" customFormat="1" ht="10.5" x14ac:dyDescent="0.2">
      <c r="A157" s="333"/>
      <c r="B157" s="79" t="s">
        <v>165</v>
      </c>
      <c r="C157" s="95"/>
      <c r="D157" s="95"/>
      <c r="E157" s="95"/>
      <c r="F157" s="41"/>
      <c r="G157" s="334"/>
      <c r="H157" s="46"/>
      <c r="I157" s="50"/>
    </row>
    <row r="158" spans="1:15" s="7" customFormat="1" ht="10.5" x14ac:dyDescent="0.2">
      <c r="A158" s="43"/>
      <c r="B158" s="440"/>
      <c r="C158" s="44"/>
      <c r="D158" s="44"/>
      <c r="E158" s="44"/>
      <c r="F158" s="45"/>
      <c r="G158" s="48"/>
      <c r="H158" s="46"/>
      <c r="I158" s="50"/>
    </row>
    <row r="159" spans="1:15" ht="18" customHeight="1" x14ac:dyDescent="0.15">
      <c r="H159" s="51"/>
      <c r="I159" s="51"/>
    </row>
    <row r="160" spans="1:15" s="89" customFormat="1" ht="18" customHeight="1" x14ac:dyDescent="0.2">
      <c r="A160" s="90" t="s">
        <v>166</v>
      </c>
      <c r="B160" s="86"/>
      <c r="C160" s="86"/>
      <c r="D160" s="87"/>
      <c r="E160" s="87"/>
      <c r="F160" s="87"/>
      <c r="G160" s="88"/>
    </row>
    <row r="161" spans="1:9" s="18" customFormat="1" ht="21.75" customHeight="1" x14ac:dyDescent="0.15">
      <c r="A161" s="97"/>
      <c r="B161" s="491" t="s">
        <v>167</v>
      </c>
      <c r="C161" s="491"/>
      <c r="D161" s="491"/>
      <c r="E161" s="491"/>
      <c r="F161" s="492"/>
      <c r="G161" s="98" t="s">
        <v>47</v>
      </c>
      <c r="H161" s="25"/>
      <c r="I161" s="25"/>
    </row>
    <row r="162" spans="1:9" s="18" customFormat="1" ht="21.75" customHeight="1" x14ac:dyDescent="0.15">
      <c r="A162" s="100" t="s">
        <v>13</v>
      </c>
      <c r="B162" s="101" t="s">
        <v>168</v>
      </c>
      <c r="C162" s="102"/>
      <c r="D162" s="102"/>
      <c r="E162" s="102"/>
      <c r="F162" s="103"/>
      <c r="G162" s="169">
        <f>$G$45</f>
        <v>0</v>
      </c>
    </row>
    <row r="163" spans="1:9" s="18" customFormat="1" ht="21.75" customHeight="1" x14ac:dyDescent="0.15">
      <c r="A163" s="104" t="s">
        <v>15</v>
      </c>
      <c r="B163" s="105" t="s">
        <v>169</v>
      </c>
      <c r="C163" s="106"/>
      <c r="D163" s="106"/>
      <c r="E163" s="106"/>
      <c r="F163" s="69"/>
      <c r="G163" s="170">
        <f>$G$88</f>
        <v>0</v>
      </c>
    </row>
    <row r="164" spans="1:9" s="18" customFormat="1" ht="21.75" customHeight="1" x14ac:dyDescent="0.15">
      <c r="A164" s="104" t="s">
        <v>17</v>
      </c>
      <c r="B164" s="105" t="s">
        <v>170</v>
      </c>
      <c r="C164" s="106"/>
      <c r="D164" s="106"/>
      <c r="E164" s="106"/>
      <c r="F164" s="69"/>
      <c r="G164" s="170">
        <f>$G$104</f>
        <v>0</v>
      </c>
    </row>
    <row r="165" spans="1:9" s="18" customFormat="1" ht="21.75" customHeight="1" x14ac:dyDescent="0.15">
      <c r="A165" s="104" t="s">
        <v>19</v>
      </c>
      <c r="B165" s="105" t="s">
        <v>171</v>
      </c>
      <c r="C165" s="106"/>
      <c r="D165" s="106"/>
      <c r="E165" s="106"/>
      <c r="F165" s="69"/>
      <c r="G165" s="170">
        <f>$G$128</f>
        <v>0</v>
      </c>
    </row>
    <row r="166" spans="1:9" s="18" customFormat="1" ht="21.75" customHeight="1" x14ac:dyDescent="0.15">
      <c r="A166" s="104" t="s">
        <v>21</v>
      </c>
      <c r="B166" s="105" t="s">
        <v>172</v>
      </c>
      <c r="C166" s="106"/>
      <c r="D166" s="106"/>
      <c r="E166" s="106"/>
      <c r="F166" s="69"/>
      <c r="G166" s="170">
        <f>$G$136</f>
        <v>0</v>
      </c>
    </row>
    <row r="167" spans="1:9" s="18" customFormat="1" ht="21.75" customHeight="1" x14ac:dyDescent="0.15">
      <c r="A167" s="104"/>
      <c r="B167" s="107" t="s">
        <v>173</v>
      </c>
      <c r="C167" s="106"/>
      <c r="D167" s="106"/>
      <c r="E167" s="106"/>
      <c r="F167" s="69"/>
      <c r="G167" s="171">
        <f>SUM(G162:G166)</f>
        <v>0</v>
      </c>
    </row>
    <row r="168" spans="1:9" s="18" customFormat="1" ht="21.75" customHeight="1" x14ac:dyDescent="0.15">
      <c r="A168" s="109" t="s">
        <v>23</v>
      </c>
      <c r="B168" s="110" t="s">
        <v>174</v>
      </c>
      <c r="C168" s="111"/>
      <c r="D168" s="111"/>
      <c r="E168" s="111"/>
      <c r="F168" s="112"/>
      <c r="G168" s="172">
        <f>$G$150</f>
        <v>0</v>
      </c>
    </row>
    <row r="169" spans="1:9" s="18" customFormat="1" ht="21.75" customHeight="1" x14ac:dyDescent="0.15">
      <c r="A169" s="113"/>
      <c r="B169" s="99" t="s">
        <v>175</v>
      </c>
      <c r="C169" s="99"/>
      <c r="D169" s="99"/>
      <c r="E169" s="99"/>
      <c r="F169" s="114"/>
      <c r="G169" s="173">
        <f>SUM(G167:G168)</f>
        <v>0</v>
      </c>
      <c r="H169" s="64"/>
      <c r="I169" s="64"/>
    </row>
  </sheetData>
  <mergeCells count="74">
    <mergeCell ref="B11:E11"/>
    <mergeCell ref="A2:G2"/>
    <mergeCell ref="A3:G3"/>
    <mergeCell ref="A5:G5"/>
    <mergeCell ref="A6:G6"/>
    <mergeCell ref="B10:E10"/>
    <mergeCell ref="B25:F25"/>
    <mergeCell ref="A14:B14"/>
    <mergeCell ref="E14:F14"/>
    <mergeCell ref="A15:B15"/>
    <mergeCell ref="E15:F15"/>
    <mergeCell ref="A16:B16"/>
    <mergeCell ref="E16:F16"/>
    <mergeCell ref="A17:B17"/>
    <mergeCell ref="E17:F17"/>
    <mergeCell ref="A22:F22"/>
    <mergeCell ref="B23:F23"/>
    <mergeCell ref="B24:F24"/>
    <mergeCell ref="B42:E42"/>
    <mergeCell ref="B26:F26"/>
    <mergeCell ref="B27:F27"/>
    <mergeCell ref="A28:A29"/>
    <mergeCell ref="B28:C28"/>
    <mergeCell ref="D28:E28"/>
    <mergeCell ref="B29:C29"/>
    <mergeCell ref="D29:E29"/>
    <mergeCell ref="B30:C30"/>
    <mergeCell ref="E30:F30"/>
    <mergeCell ref="A34:G34"/>
    <mergeCell ref="B36:E36"/>
    <mergeCell ref="B41:D41"/>
    <mergeCell ref="A79:G79"/>
    <mergeCell ref="B43:E43"/>
    <mergeCell ref="A46:G46"/>
    <mergeCell ref="A49:G49"/>
    <mergeCell ref="B50:C50"/>
    <mergeCell ref="D50:E50"/>
    <mergeCell ref="B52:C52"/>
    <mergeCell ref="B57:E57"/>
    <mergeCell ref="C58:D58"/>
    <mergeCell ref="B68:E68"/>
    <mergeCell ref="B69:E69"/>
    <mergeCell ref="B71:E71"/>
    <mergeCell ref="B99:D99"/>
    <mergeCell ref="A80:G80"/>
    <mergeCell ref="A81:G81"/>
    <mergeCell ref="A90:G90"/>
    <mergeCell ref="B91:D91"/>
    <mergeCell ref="A92:E92"/>
    <mergeCell ref="B93:D93"/>
    <mergeCell ref="B94:D94"/>
    <mergeCell ref="B95:D95"/>
    <mergeCell ref="B96:D96"/>
    <mergeCell ref="B97:C97"/>
    <mergeCell ref="B98:D98"/>
    <mergeCell ref="B116:F116"/>
    <mergeCell ref="B100:D100"/>
    <mergeCell ref="B101:D101"/>
    <mergeCell ref="B102:C102"/>
    <mergeCell ref="B103:D103"/>
    <mergeCell ref="B107:D107"/>
    <mergeCell ref="B108:D108"/>
    <mergeCell ref="B109:D109"/>
    <mergeCell ref="B110:D110"/>
    <mergeCell ref="B111:D111"/>
    <mergeCell ref="B112:D112"/>
    <mergeCell ref="B113:D113"/>
    <mergeCell ref="B161:F161"/>
    <mergeCell ref="B117:E117"/>
    <mergeCell ref="B118:E118"/>
    <mergeCell ref="A120:G120"/>
    <mergeCell ref="A121:G121"/>
    <mergeCell ref="B140:E140"/>
    <mergeCell ref="B141:E141"/>
  </mergeCells>
  <dataValidations count="3">
    <dataValidation type="list" allowBlank="1" showInputMessage="1" showErrorMessage="1" sqref="F117 D97 D102 F10 F69:F77 F37 C39 F132:F135">
      <formula1>"Sim,Não"</formula1>
    </dataValidation>
    <dataValidation type="list" allowBlank="1" showInputMessage="1" showErrorMessage="1" sqref="F11">
      <formula1>"Normal,12X36"</formula1>
    </dataValidation>
    <dataValidation type="list" allowBlank="1" showInputMessage="1" showErrorMessage="1" errorTitle="VALORES INCORRETOS" error="Responder &quot;Sim&quot; ou &quot;Não&quot;" sqref="F43">
      <formula1>"Sim,Não"</formula1>
    </dataValidation>
  </dataValidations>
  <hyperlinks>
    <hyperlink ref="I107" r:id="rId1"/>
  </hyperlinks>
  <printOptions horizontalCentered="1"/>
  <pageMargins left="1.1811023622047245" right="0.39370078740157483" top="0.39370078740157483" bottom="0.39370078740157483" header="0.11811023622047245" footer="0.11811023622047245"/>
  <pageSetup paperSize="9" scale="82" fitToHeight="4" orientation="portrait" r:id="rId2"/>
  <headerFooter alignWithMargins="0">
    <oddFooter>&amp;LPág. &amp;P</oddFooter>
  </headerFooter>
  <rowBreaks count="4" manualBreakCount="4">
    <brk id="49" max="6" man="1"/>
    <brk id="89" max="6" man="1"/>
    <brk id="104" max="6" man="1"/>
    <brk id="137" max="6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showGridLines="0" topLeftCell="A179" zoomScale="130" zoomScaleNormal="130" zoomScaleSheetLayoutView="235" workbookViewId="0">
      <selection activeCell="J205" sqref="J205"/>
    </sheetView>
  </sheetViews>
  <sheetFormatPr defaultColWidth="9.140625" defaultRowHeight="11.25" x14ac:dyDescent="0.15"/>
  <cols>
    <col min="1" max="1" width="5.85546875" style="1" customWidth="1"/>
    <col min="2" max="2" width="12.85546875" style="59" customWidth="1"/>
    <col min="3" max="4" width="8.85546875" style="51" customWidth="1"/>
    <col min="5" max="5" width="13" style="51" customWidth="1"/>
    <col min="6" max="6" width="12.140625" style="51" customWidth="1"/>
    <col min="7" max="7" width="18.28515625" style="2" customWidth="1"/>
    <col min="8" max="8" width="3.28515625" style="1" hidden="1" customWidth="1"/>
    <col min="9" max="9" width="8" style="1" hidden="1" customWidth="1"/>
    <col min="10" max="10" width="9.7109375" style="1" customWidth="1"/>
    <col min="11" max="12" width="9.140625" style="1" customWidth="1"/>
    <col min="13" max="13" width="10.28515625" style="1" customWidth="1"/>
    <col min="14" max="14" width="9.140625" style="1" customWidth="1"/>
    <col min="15" max="16384" width="9.140625" style="1"/>
  </cols>
  <sheetData>
    <row r="1" spans="1:8" ht="12.75" x14ac:dyDescent="0.2">
      <c r="H1"/>
    </row>
    <row r="2" spans="1:8" ht="18" x14ac:dyDescent="0.25">
      <c r="A2" s="570"/>
      <c r="B2" s="570"/>
      <c r="C2" s="570"/>
      <c r="D2" s="570"/>
      <c r="E2" s="570"/>
      <c r="F2" s="570"/>
      <c r="G2" s="570"/>
    </row>
    <row r="3" spans="1:8" ht="14.25" x14ac:dyDescent="0.2">
      <c r="A3" s="571"/>
      <c r="B3" s="571"/>
      <c r="C3" s="571"/>
      <c r="D3" s="571"/>
      <c r="E3" s="571"/>
      <c r="F3" s="571"/>
      <c r="G3" s="571"/>
    </row>
    <row r="4" spans="1:8" x14ac:dyDescent="0.15">
      <c r="B4" s="56"/>
      <c r="C4" s="5"/>
      <c r="D4" s="5"/>
      <c r="E4" s="5"/>
      <c r="F4" s="5"/>
      <c r="G4" s="3"/>
    </row>
    <row r="5" spans="1:8" s="4" customFormat="1" ht="15.75" x14ac:dyDescent="0.15">
      <c r="A5" s="572" t="s">
        <v>1</v>
      </c>
      <c r="B5" s="572"/>
      <c r="C5" s="572"/>
      <c r="D5" s="572"/>
      <c r="E5" s="572"/>
      <c r="F5" s="572"/>
      <c r="G5" s="572"/>
      <c r="H5" s="65"/>
    </row>
    <row r="6" spans="1:8" s="4" customFormat="1" ht="12.75" x14ac:dyDescent="0.15">
      <c r="A6" s="572" t="s">
        <v>295</v>
      </c>
      <c r="B6" s="572"/>
      <c r="C6" s="572"/>
      <c r="D6" s="572"/>
      <c r="E6" s="572"/>
      <c r="F6" s="572"/>
      <c r="G6" s="572"/>
    </row>
    <row r="7" spans="1:8" s="4" customFormat="1" ht="12.75" x14ac:dyDescent="0.15">
      <c r="A7" s="450"/>
      <c r="B7" s="450"/>
      <c r="C7" s="450"/>
      <c r="D7" s="450"/>
      <c r="E7" s="450"/>
      <c r="F7" s="450"/>
      <c r="G7" s="450"/>
    </row>
    <row r="8" spans="1:8" s="89" customFormat="1" ht="18" customHeight="1" x14ac:dyDescent="0.2">
      <c r="A8" s="228"/>
      <c r="B8" s="229"/>
      <c r="C8" s="228"/>
      <c r="D8" s="229"/>
      <c r="E8" s="124"/>
      <c r="F8" s="124"/>
      <c r="G8" s="88"/>
    </row>
    <row r="9" spans="1:8" s="89" customFormat="1" ht="18" customHeight="1" x14ac:dyDescent="0.2">
      <c r="A9" s="277" t="s">
        <v>266</v>
      </c>
      <c r="B9" s="229"/>
      <c r="C9" s="228"/>
      <c r="D9" s="229"/>
      <c r="E9" s="124"/>
      <c r="F9" s="124"/>
      <c r="G9" s="88"/>
    </row>
    <row r="10" spans="1:8" s="89" customFormat="1" ht="18" customHeight="1" x14ac:dyDescent="0.2">
      <c r="A10" s="452" t="s">
        <v>13</v>
      </c>
      <c r="B10" s="569" t="s">
        <v>200</v>
      </c>
      <c r="C10" s="569"/>
      <c r="D10" s="569"/>
      <c r="E10" s="569"/>
      <c r="F10" s="250" t="str">
        <f>PARAMETROS!C25</f>
        <v>Não</v>
      </c>
      <c r="G10" s="88"/>
    </row>
    <row r="11" spans="1:8" s="89" customFormat="1" ht="18" customHeight="1" x14ac:dyDescent="0.2">
      <c r="A11" s="452" t="s">
        <v>15</v>
      </c>
      <c r="B11" s="569" t="s">
        <v>227</v>
      </c>
      <c r="C11" s="569"/>
      <c r="D11" s="569"/>
      <c r="E11" s="569"/>
      <c r="F11" s="250" t="str">
        <f>PARAMETROS!C29</f>
        <v>Normal</v>
      </c>
      <c r="G11" s="88"/>
    </row>
    <row r="12" spans="1:8" s="89" customFormat="1" ht="18" customHeight="1" x14ac:dyDescent="0.2">
      <c r="A12" s="230"/>
      <c r="B12" s="232"/>
      <c r="C12" s="232"/>
      <c r="D12" s="232"/>
      <c r="E12" s="232"/>
      <c r="F12" s="124"/>
      <c r="G12" s="88"/>
    </row>
    <row r="13" spans="1:8" s="89" customFormat="1" ht="18" customHeight="1" x14ac:dyDescent="0.2">
      <c r="A13" s="277" t="s">
        <v>64</v>
      </c>
      <c r="B13" s="229"/>
      <c r="C13" s="228"/>
      <c r="D13" s="229"/>
      <c r="E13" s="124"/>
      <c r="F13" s="124"/>
      <c r="G13" s="88"/>
    </row>
    <row r="14" spans="1:8" s="89" customFormat="1" ht="32.450000000000003" customHeight="1" x14ac:dyDescent="0.2">
      <c r="A14" s="630" t="s">
        <v>65</v>
      </c>
      <c r="B14" s="630"/>
      <c r="C14" s="362" t="s">
        <v>66</v>
      </c>
      <c r="D14" s="452" t="s">
        <v>228</v>
      </c>
      <c r="E14" s="630" t="s">
        <v>67</v>
      </c>
      <c r="F14" s="630"/>
      <c r="G14" s="88"/>
    </row>
    <row r="15" spans="1:8" s="89" customFormat="1" ht="18" customHeight="1" x14ac:dyDescent="0.2">
      <c r="A15" s="628" t="str">
        <f>A6</f>
        <v>TÉCNICO DA TECNOLOGIA DA INFORMÁTICA</v>
      </c>
      <c r="B15" s="628"/>
      <c r="C15" s="453" t="s">
        <v>294</v>
      </c>
      <c r="D15" s="453">
        <v>1</v>
      </c>
      <c r="E15" s="629">
        <v>1</v>
      </c>
      <c r="F15" s="629"/>
      <c r="G15" s="88"/>
    </row>
    <row r="16" spans="1:8" s="89" customFormat="1" ht="18" customHeight="1" x14ac:dyDescent="0.2">
      <c r="A16" s="628"/>
      <c r="B16" s="628"/>
      <c r="C16" s="363"/>
      <c r="D16" s="363"/>
      <c r="E16" s="629"/>
      <c r="F16" s="629"/>
      <c r="G16" s="88"/>
    </row>
    <row r="17" spans="1:9" s="89" customFormat="1" ht="18" customHeight="1" x14ac:dyDescent="0.2">
      <c r="A17" s="628"/>
      <c r="B17" s="628"/>
      <c r="C17" s="363"/>
      <c r="D17" s="363"/>
      <c r="E17" s="629"/>
      <c r="F17" s="629"/>
      <c r="G17" s="88"/>
    </row>
    <row r="18" spans="1:9" s="89" customFormat="1" ht="18" customHeight="1" x14ac:dyDescent="0.2">
      <c r="A18" s="123"/>
      <c r="B18" s="86"/>
      <c r="C18" s="86"/>
      <c r="D18" s="124"/>
      <c r="E18" s="124"/>
      <c r="F18" s="124"/>
      <c r="G18" s="88"/>
    </row>
    <row r="19" spans="1:9" s="89" customFormat="1" ht="18" customHeight="1" x14ac:dyDescent="0.2">
      <c r="A19" s="276" t="s">
        <v>193</v>
      </c>
      <c r="B19" s="86"/>
      <c r="C19" s="86"/>
      <c r="D19" s="124"/>
      <c r="E19" s="124"/>
      <c r="F19" s="124"/>
      <c r="G19" s="88"/>
    </row>
    <row r="20" spans="1:9" s="89" customFormat="1" ht="18" customHeight="1" x14ac:dyDescent="0.2">
      <c r="A20" s="123" t="s">
        <v>194</v>
      </c>
      <c r="B20" s="86"/>
      <c r="C20" s="86"/>
      <c r="D20" s="124"/>
      <c r="E20" s="124"/>
      <c r="F20" s="124"/>
      <c r="G20" s="88"/>
    </row>
    <row r="21" spans="1:9" s="89" customFormat="1" ht="18" customHeight="1" x14ac:dyDescent="0.2">
      <c r="A21" s="90" t="s">
        <v>195</v>
      </c>
      <c r="B21" s="86"/>
      <c r="C21" s="86"/>
      <c r="D21" s="87"/>
      <c r="E21" s="87"/>
      <c r="F21" s="87"/>
      <c r="G21" s="88"/>
    </row>
    <row r="22" spans="1:9" s="7" customFormat="1" ht="24" customHeight="1" x14ac:dyDescent="0.2">
      <c r="A22" s="508" t="s">
        <v>216</v>
      </c>
      <c r="B22" s="509"/>
      <c r="C22" s="509"/>
      <c r="D22" s="509"/>
      <c r="E22" s="509"/>
      <c r="F22" s="510"/>
      <c r="G22" s="67" t="str">
        <f>A6</f>
        <v>TÉCNICO DA TECNOLOGIA DA INFORMÁTICA</v>
      </c>
    </row>
    <row r="23" spans="1:9" s="7" customFormat="1" ht="18" customHeight="1" x14ac:dyDescent="0.2">
      <c r="A23" s="178">
        <v>1</v>
      </c>
      <c r="B23" s="546" t="s">
        <v>71</v>
      </c>
      <c r="C23" s="546"/>
      <c r="D23" s="546"/>
      <c r="E23" s="546"/>
      <c r="F23" s="546"/>
      <c r="G23" s="189" t="str">
        <f>A15</f>
        <v>TÉCNICO DA TECNOLOGIA DA INFORMÁTICA</v>
      </c>
    </row>
    <row r="24" spans="1:9" s="7" customFormat="1" ht="25.5" customHeight="1" x14ac:dyDescent="0.2">
      <c r="A24" s="178">
        <v>2</v>
      </c>
      <c r="B24" s="563" t="s">
        <v>201</v>
      </c>
      <c r="C24" s="564"/>
      <c r="D24" s="564"/>
      <c r="E24" s="564"/>
      <c r="F24" s="565"/>
      <c r="G24" s="119"/>
    </row>
    <row r="25" spans="1:9" s="7" customFormat="1" ht="18" customHeight="1" x14ac:dyDescent="0.2">
      <c r="A25" s="178">
        <f t="shared" ref="A25:A28" si="0">A24+1</f>
        <v>3</v>
      </c>
      <c r="B25" s="546" t="s">
        <v>74</v>
      </c>
      <c r="C25" s="546"/>
      <c r="D25" s="546"/>
      <c r="E25" s="546"/>
      <c r="F25" s="546"/>
      <c r="G25" s="189" t="str">
        <f>A15</f>
        <v>TÉCNICO DA TECNOLOGIA DA INFORMÁTICA</v>
      </c>
    </row>
    <row r="26" spans="1:9" s="7" customFormat="1" ht="18" customHeight="1" x14ac:dyDescent="0.2">
      <c r="A26" s="178">
        <f t="shared" si="0"/>
        <v>4</v>
      </c>
      <c r="B26" s="546" t="s">
        <v>75</v>
      </c>
      <c r="C26" s="546"/>
      <c r="D26" s="546"/>
      <c r="E26" s="546"/>
      <c r="F26" s="546"/>
      <c r="G26" s="188">
        <v>44197</v>
      </c>
    </row>
    <row r="27" spans="1:9" s="7" customFormat="1" ht="18" customHeight="1" x14ac:dyDescent="0.2">
      <c r="A27" s="218">
        <f t="shared" si="0"/>
        <v>5</v>
      </c>
      <c r="B27" s="547" t="s">
        <v>76</v>
      </c>
      <c r="C27" s="547"/>
      <c r="D27" s="547"/>
      <c r="E27" s="547"/>
      <c r="F27" s="548"/>
      <c r="G27" s="233">
        <f>PARAMETROS!C23</f>
        <v>1212</v>
      </c>
    </row>
    <row r="28" spans="1:9" s="213" customFormat="1" ht="10.5" x14ac:dyDescent="0.2">
      <c r="A28" s="549">
        <f t="shared" si="0"/>
        <v>6</v>
      </c>
      <c r="B28" s="551" t="s">
        <v>77</v>
      </c>
      <c r="C28" s="552"/>
      <c r="D28" s="551" t="s">
        <v>223</v>
      </c>
      <c r="E28" s="552"/>
      <c r="F28" s="225" t="s">
        <v>215</v>
      </c>
      <c r="G28" s="212" t="s">
        <v>80</v>
      </c>
      <c r="I28" s="213" t="s">
        <v>81</v>
      </c>
    </row>
    <row r="29" spans="1:9" s="213" customFormat="1" ht="18.75" customHeight="1" x14ac:dyDescent="0.2">
      <c r="A29" s="550"/>
      <c r="B29" s="631">
        <f>PARAMETROS!C26</f>
        <v>0</v>
      </c>
      <c r="C29" s="632"/>
      <c r="D29" s="555">
        <f>IF(F11="12x36",0.03,0.06)</f>
        <v>0.06</v>
      </c>
      <c r="E29" s="556"/>
      <c r="F29" s="303">
        <f>PARAMETROS!C81</f>
        <v>20.92</v>
      </c>
      <c r="G29" s="443">
        <v>2</v>
      </c>
      <c r="H29" s="215" t="s">
        <v>82</v>
      </c>
      <c r="I29" s="213" t="s">
        <v>83</v>
      </c>
    </row>
    <row r="30" spans="1:9" s="7" customFormat="1" ht="18" customHeight="1" x14ac:dyDescent="0.2">
      <c r="A30" s="218">
        <f>A28+1</f>
        <v>7</v>
      </c>
      <c r="B30" s="557" t="s">
        <v>84</v>
      </c>
      <c r="C30" s="558"/>
      <c r="D30" s="219">
        <v>30</v>
      </c>
      <c r="E30" s="559" t="s">
        <v>85</v>
      </c>
      <c r="F30" s="560"/>
      <c r="G30" s="234">
        <f>ROUND(D30/6*30,0)</f>
        <v>150</v>
      </c>
    </row>
    <row r="31" spans="1:9" s="7" customFormat="1" ht="10.5" x14ac:dyDescent="0.2">
      <c r="A31" s="318"/>
      <c r="B31" s="321" t="s">
        <v>86</v>
      </c>
      <c r="C31" s="322"/>
      <c r="D31" s="323"/>
      <c r="E31" s="323"/>
      <c r="F31" s="324"/>
      <c r="G31" s="325"/>
      <c r="H31" s="209"/>
    </row>
    <row r="32" spans="1:9" s="7" customFormat="1" ht="10.5" x14ac:dyDescent="0.2">
      <c r="A32" s="326"/>
      <c r="B32" s="220" t="s">
        <v>87</v>
      </c>
      <c r="C32" s="208"/>
      <c r="D32" s="210"/>
      <c r="E32" s="210"/>
      <c r="F32" s="293"/>
      <c r="G32" s="327"/>
      <c r="H32" s="209"/>
    </row>
    <row r="33" spans="1:14" s="7" customFormat="1" ht="9" customHeight="1" x14ac:dyDescent="0.2">
      <c r="A33" s="122"/>
      <c r="B33" s="296"/>
      <c r="C33" s="447"/>
      <c r="D33" s="447"/>
      <c r="E33" s="447"/>
      <c r="F33" s="447"/>
      <c r="G33" s="117"/>
    </row>
    <row r="34" spans="1:14" s="89" customFormat="1" ht="30" customHeight="1" thickBot="1" x14ac:dyDescent="0.25">
      <c r="A34" s="614" t="s">
        <v>196</v>
      </c>
      <c r="B34" s="614"/>
      <c r="C34" s="614"/>
      <c r="D34" s="614"/>
      <c r="E34" s="615"/>
      <c r="F34" s="614"/>
      <c r="G34" s="614"/>
    </row>
    <row r="35" spans="1:14" s="7" customFormat="1" ht="18" customHeight="1" thickTop="1" thickBot="1" x14ac:dyDescent="0.25">
      <c r="A35" s="6" t="s">
        <v>10</v>
      </c>
      <c r="B35" s="62" t="s">
        <v>90</v>
      </c>
      <c r="C35" s="285"/>
      <c r="D35" s="285"/>
      <c r="E35" s="421" t="str">
        <f>"Regime: "&amp;F11</f>
        <v>Regime: Normal</v>
      </c>
      <c r="F35" s="19" t="s">
        <v>12</v>
      </c>
      <c r="G35" s="60" t="s">
        <v>47</v>
      </c>
    </row>
    <row r="36" spans="1:14" s="7" customFormat="1" ht="18" customHeight="1" thickTop="1" x14ac:dyDescent="0.2">
      <c r="A36" s="401" t="s">
        <v>13</v>
      </c>
      <c r="B36" s="616" t="s">
        <v>91</v>
      </c>
      <c r="C36" s="617"/>
      <c r="D36" s="617"/>
      <c r="E36" s="618"/>
      <c r="F36" s="402" t="s">
        <v>0</v>
      </c>
      <c r="G36" s="403">
        <f>G24</f>
        <v>0</v>
      </c>
    </row>
    <row r="37" spans="1:14" s="7" customFormat="1" ht="18" customHeight="1" x14ac:dyDescent="0.2">
      <c r="A37" s="350" t="s">
        <v>15</v>
      </c>
      <c r="B37" s="404" t="s">
        <v>92</v>
      </c>
      <c r="C37" s="405"/>
      <c r="D37" s="406" t="s">
        <v>238</v>
      </c>
      <c r="E37" s="406"/>
      <c r="F37" s="359" t="s">
        <v>8</v>
      </c>
      <c r="G37" s="353">
        <f>IF(F37="Sim",ROUND($G$36*MID(D37,17,2)/100,2),0)</f>
        <v>0</v>
      </c>
    </row>
    <row r="38" spans="1:14" s="7" customFormat="1" ht="18" customHeight="1" x14ac:dyDescent="0.2">
      <c r="A38" s="350" t="s">
        <v>17</v>
      </c>
      <c r="B38" s="404" t="s">
        <v>236</v>
      </c>
      <c r="C38" s="407"/>
      <c r="D38" s="406" t="s">
        <v>237</v>
      </c>
      <c r="E38" s="407"/>
      <c r="F38" s="408"/>
      <c r="G38" s="353">
        <f>ROUND($G$27*$F38,2)</f>
        <v>0</v>
      </c>
      <c r="N38" s="393"/>
    </row>
    <row r="39" spans="1:14" s="7" customFormat="1" ht="18" customHeight="1" x14ac:dyDescent="0.2">
      <c r="A39" s="350" t="s">
        <v>19</v>
      </c>
      <c r="B39" s="460" t="s">
        <v>257</v>
      </c>
      <c r="C39" s="418" t="s">
        <v>8</v>
      </c>
      <c r="D39" s="416" t="str">
        <f>IF(F39&gt;0,"("&amp;INT(F39)&amp;"h "&amp;ROUND((F39-INT(F39))*60,0)&amp;"min)=","")</f>
        <v/>
      </c>
      <c r="E39" s="420" t="str">
        <f>IF(F39&gt;0,"Quant. Horas 
normais (decimais) =","")</f>
        <v/>
      </c>
      <c r="F39" s="410"/>
      <c r="G39" s="411">
        <f>IF(AND(F11="12X36",C39="Sim"),ROUND(SUM(G36:G38)*(7/12)*0.2,2),ROUND((SUM(G36:G38)/G30)*0.2*F39,2))</f>
        <v>0</v>
      </c>
      <c r="M39" s="419"/>
      <c r="N39" s="393"/>
    </row>
    <row r="40" spans="1:14" s="7" customFormat="1" ht="18" customHeight="1" x14ac:dyDescent="0.2">
      <c r="A40" s="350" t="s">
        <v>21</v>
      </c>
      <c r="B40" s="414" t="s">
        <v>254</v>
      </c>
      <c r="C40" s="409"/>
      <c r="D40" s="412" t="str">
        <f>IF(F40&gt;0,"("&amp;INT(F40)&amp;"h "&amp;ROUND((F40-INT(F40))*60,0)&amp;"min)=","")</f>
        <v/>
      </c>
      <c r="E40" s="420" t="str">
        <f>IF(F40&gt;0,"Quant. Horas 
reduzidas (decimais)=","")</f>
        <v/>
      </c>
      <c r="F40" s="417">
        <f>IF(F39&gt;0,ROUND(((F39)*(8/7))-(F39),2),0)</f>
        <v>0</v>
      </c>
      <c r="G40" s="411">
        <f>ROUND((SUM(G36:G38)/G30)*0.2*F40,2)</f>
        <v>0</v>
      </c>
      <c r="M40" s="68"/>
      <c r="N40" s="394"/>
    </row>
    <row r="41" spans="1:14" s="7" customFormat="1" ht="18" customHeight="1" x14ac:dyDescent="0.2">
      <c r="A41" s="350" t="s">
        <v>23</v>
      </c>
      <c r="B41" s="619" t="s">
        <v>197</v>
      </c>
      <c r="C41" s="620"/>
      <c r="D41" s="620"/>
      <c r="E41" s="413"/>
      <c r="F41" s="351">
        <f>IF(ISNUMBER(E41),50%,0)</f>
        <v>0</v>
      </c>
      <c r="G41" s="352">
        <f>ROUND(SUM(G36:G40)/G30*1.5*E41,2)</f>
        <v>0</v>
      </c>
      <c r="M41" s="68"/>
      <c r="N41" s="394"/>
    </row>
    <row r="42" spans="1:14" s="7" customFormat="1" ht="18" customHeight="1" x14ac:dyDescent="0.2">
      <c r="A42" s="350"/>
      <c r="B42" s="625" t="s">
        <v>173</v>
      </c>
      <c r="C42" s="626"/>
      <c r="D42" s="626"/>
      <c r="E42" s="626"/>
      <c r="F42" s="351"/>
      <c r="G42" s="352">
        <f>SUM(G36:G41)</f>
        <v>0</v>
      </c>
    </row>
    <row r="43" spans="1:14" s="7" customFormat="1" ht="21.6" customHeight="1" x14ac:dyDescent="0.2">
      <c r="A43" s="360" t="s">
        <v>25</v>
      </c>
      <c r="B43" s="619" t="s">
        <v>229</v>
      </c>
      <c r="C43" s="620"/>
      <c r="D43" s="620"/>
      <c r="E43" s="620"/>
      <c r="F43" s="359" t="s">
        <v>8</v>
      </c>
      <c r="G43" s="353">
        <f>IF(F43="Sim",ROUND(SUM(G36:G38)/G30*1.5*F29,2),0)</f>
        <v>0</v>
      </c>
    </row>
    <row r="44" spans="1:14" s="7" customFormat="1" ht="21.6" customHeight="1" x14ac:dyDescent="0.2">
      <c r="A44" s="354" t="s">
        <v>27</v>
      </c>
      <c r="B44" s="355" t="s">
        <v>51</v>
      </c>
      <c r="C44" s="356"/>
      <c r="D44" s="356"/>
      <c r="E44" s="356"/>
      <c r="F44" s="357"/>
      <c r="G44" s="358"/>
    </row>
    <row r="45" spans="1:14" s="7" customFormat="1" ht="18" customHeight="1" x14ac:dyDescent="0.2">
      <c r="A45" s="13"/>
      <c r="B45" s="23" t="s">
        <v>29</v>
      </c>
      <c r="C45" s="52"/>
      <c r="D45" s="52"/>
      <c r="E45" s="52"/>
      <c r="F45" s="24"/>
      <c r="G45" s="160">
        <f>SUM(G42:G44)</f>
        <v>0</v>
      </c>
    </row>
    <row r="46" spans="1:14" x14ac:dyDescent="0.15">
      <c r="A46" s="531" t="s">
        <v>30</v>
      </c>
      <c r="B46" s="513"/>
      <c r="C46" s="513"/>
      <c r="D46" s="513"/>
      <c r="E46" s="513"/>
      <c r="F46" s="513"/>
      <c r="G46" s="532"/>
    </row>
    <row r="47" spans="1:14" s="116" customFormat="1" ht="9" x14ac:dyDescent="0.15">
      <c r="A47" s="348"/>
      <c r="B47" s="361"/>
      <c r="C47" s="348"/>
      <c r="D47" s="348"/>
      <c r="E47" s="348"/>
      <c r="F47" s="348"/>
      <c r="G47" s="348"/>
    </row>
    <row r="48" spans="1:14" s="18" customFormat="1" ht="18" customHeight="1" x14ac:dyDescent="0.15">
      <c r="A48" s="15"/>
      <c r="B48" s="57"/>
      <c r="C48" s="16"/>
      <c r="D48" s="16"/>
      <c r="E48" s="16"/>
      <c r="F48" s="16"/>
      <c r="G48" s="17"/>
    </row>
    <row r="49" spans="1:16" s="89" customFormat="1" ht="25.5" customHeight="1" x14ac:dyDescent="0.2">
      <c r="A49" s="614" t="s">
        <v>207</v>
      </c>
      <c r="B49" s="614"/>
      <c r="C49" s="614"/>
      <c r="D49" s="614"/>
      <c r="E49" s="614"/>
      <c r="F49" s="614"/>
      <c r="G49" s="614"/>
    </row>
    <row r="50" spans="1:16" s="18" customFormat="1" ht="25.5" customHeight="1" x14ac:dyDescent="0.15">
      <c r="A50" s="29" t="s">
        <v>98</v>
      </c>
      <c r="B50" s="517" t="s">
        <v>99</v>
      </c>
      <c r="C50" s="517"/>
      <c r="D50" s="623" t="str">
        <f>"Conta Vinculada? "&amp;PARAMETROS!$C$27</f>
        <v>Conta Vinculada? Sim</v>
      </c>
      <c r="E50" s="624"/>
      <c r="F50" s="19" t="s">
        <v>12</v>
      </c>
      <c r="G50" s="60" t="s">
        <v>47</v>
      </c>
    </row>
    <row r="51" spans="1:16" s="18" customFormat="1" ht="18" customHeight="1" x14ac:dyDescent="0.15">
      <c r="A51" s="8" t="s">
        <v>13</v>
      </c>
      <c r="B51" s="448" t="s">
        <v>222</v>
      </c>
      <c r="C51" s="339" t="s">
        <v>255</v>
      </c>
      <c r="D51" s="449"/>
      <c r="E51" s="449"/>
      <c r="F51" s="53">
        <f>1/12</f>
        <v>8.3333333333333329E-2</v>
      </c>
      <c r="G51" s="32">
        <f>ROUND($G$42*F51,2)</f>
        <v>0</v>
      </c>
      <c r="K51" s="64"/>
      <c r="N51" s="64"/>
      <c r="O51" s="64"/>
      <c r="P51" s="64"/>
    </row>
    <row r="52" spans="1:16" s="18" customFormat="1" ht="18" customHeight="1" x14ac:dyDescent="0.15">
      <c r="A52" s="299" t="s">
        <v>15</v>
      </c>
      <c r="B52" s="621" t="s">
        <v>206</v>
      </c>
      <c r="C52" s="622"/>
      <c r="D52" s="347" t="s">
        <v>199</v>
      </c>
      <c r="E52" s="346" t="str">
        <f>$F$10</f>
        <v>Não</v>
      </c>
      <c r="F52" s="367" t="str">
        <f>"Σ="&amp;FIXED(SUM(F53:F54)*100,2)&amp;"%"</f>
        <v>Σ=12,10%</v>
      </c>
      <c r="G52" s="368" t="str">
        <f>"Σ="&amp;FIXED(SUM(G53:G54),2)</f>
        <v>Σ=0,00</v>
      </c>
      <c r="O52" s="255"/>
    </row>
    <row r="53" spans="1:16" s="18" customFormat="1" ht="11.45" customHeight="1" x14ac:dyDescent="0.15">
      <c r="A53" s="10" t="s">
        <v>191</v>
      </c>
      <c r="B53" s="451" t="s">
        <v>204</v>
      </c>
      <c r="C53" s="302" t="str">
        <f>IF(RIGHT(D50,3)="Sim","(1÷11) =","(1÷12) =")</f>
        <v>(1÷11) =</v>
      </c>
      <c r="D53" s="297">
        <f>IF(E52="Sim","Prorrogado. Férias submódulo 4.1.A",IF(RIGHT(D50,3)="Sim",1/11,1/12))</f>
        <v>9.0909090909090912E-2</v>
      </c>
      <c r="E53" s="298"/>
      <c r="F53" s="312">
        <f>IF(E52="Sim",0,IF(RIGHT(D50,3)="Sim",0.09075,D53))</f>
        <v>9.0749999999999997E-2</v>
      </c>
      <c r="G53" s="33">
        <f>ROUND($G$42*F53,2)</f>
        <v>0</v>
      </c>
      <c r="N53" s="349"/>
      <c r="O53" s="255"/>
    </row>
    <row r="54" spans="1:16" s="18" customFormat="1" ht="11.45" customHeight="1" x14ac:dyDescent="0.15">
      <c r="A54" s="177" t="s">
        <v>192</v>
      </c>
      <c r="B54" s="300" t="s">
        <v>205</v>
      </c>
      <c r="C54" s="45"/>
      <c r="D54" s="302" t="str">
        <f>IF(RIGHT(D50,3)="Sim","(1÷3÷11) =","(1÷3÷12) =")</f>
        <v>(1÷3÷11) =</v>
      </c>
      <c r="E54" s="301">
        <f>IF(RIGHT(D50,3)="Sim",1/3/11,1/3/12)</f>
        <v>3.03030303030303E-2</v>
      </c>
      <c r="F54" s="313">
        <f>IF(RIGHT(D50,3)="Sim",0.03025,E54)</f>
        <v>3.0249999999999999E-2</v>
      </c>
      <c r="G54" s="33">
        <f>ROUND($G$42*F54,2)</f>
        <v>0</v>
      </c>
      <c r="K54" s="64"/>
      <c r="O54" s="255"/>
    </row>
    <row r="55" spans="1:16" s="237" customFormat="1" ht="18" customHeight="1" x14ac:dyDescent="0.15">
      <c r="A55" s="238"/>
      <c r="B55" s="239" t="s">
        <v>101</v>
      </c>
      <c r="C55" s="239"/>
      <c r="D55" s="239"/>
      <c r="E55" s="239"/>
      <c r="F55" s="240">
        <f>SUM(F51:F54)</f>
        <v>0.20433333333333331</v>
      </c>
      <c r="G55" s="241">
        <f>SUM(G51:G54)</f>
        <v>0</v>
      </c>
    </row>
    <row r="56" spans="1:16" s="18" customFormat="1" ht="16.149999999999999" customHeight="1" x14ac:dyDescent="0.15">
      <c r="A56" s="444"/>
      <c r="B56" s="444"/>
      <c r="C56" s="444"/>
      <c r="D56" s="444"/>
      <c r="E56" s="444"/>
      <c r="F56" s="444"/>
      <c r="G56" s="444"/>
    </row>
    <row r="57" spans="1:16" s="18" customFormat="1" ht="40.5" customHeight="1" x14ac:dyDescent="0.15">
      <c r="A57" s="28" t="s">
        <v>102</v>
      </c>
      <c r="B57" s="536" t="s">
        <v>256</v>
      </c>
      <c r="C57" s="536"/>
      <c r="D57" s="536"/>
      <c r="E57" s="536"/>
      <c r="F57" s="303" t="str">
        <f>"Optante do Simples? "&amp;PARAMETROS!C28</f>
        <v>Optante do Simples? Não</v>
      </c>
      <c r="G57" s="60" t="s">
        <v>47</v>
      </c>
      <c r="N57" s="349"/>
    </row>
    <row r="58" spans="1:16" s="18" customFormat="1" ht="18" customHeight="1" x14ac:dyDescent="0.15">
      <c r="A58" s="8" t="s">
        <v>13</v>
      </c>
      <c r="B58" s="448" t="s">
        <v>14</v>
      </c>
      <c r="C58" s="627" t="s">
        <v>200</v>
      </c>
      <c r="D58" s="627"/>
      <c r="E58" s="422" t="str">
        <f>$F$10</f>
        <v>Não</v>
      </c>
      <c r="F58" s="335">
        <f>PARAMETROS!C33</f>
        <v>0.2</v>
      </c>
      <c r="G58" s="33">
        <f t="shared" ref="G58:G65" si="1">IF($E$58="Não",ROUND(($G$42+$G$51)*SUM(F58),2),ROUND(($G$42+$G$51+$G$54)*SUM(F58),2))</f>
        <v>0</v>
      </c>
      <c r="M58" s="64"/>
      <c r="O58" s="64"/>
    </row>
    <row r="59" spans="1:16" s="18" customFormat="1" ht="18" customHeight="1" x14ac:dyDescent="0.15">
      <c r="A59" s="10" t="s">
        <v>15</v>
      </c>
      <c r="B59" s="446" t="s">
        <v>16</v>
      </c>
      <c r="C59" s="447"/>
      <c r="D59" s="320" t="s">
        <v>208</v>
      </c>
      <c r="E59" s="340" t="s">
        <v>221</v>
      </c>
      <c r="F59" s="336">
        <f>IF(RIGHT($F$57,3)="Sim","",PARAMETROS!C34)</f>
        <v>2.5000000000000001E-2</v>
      </c>
      <c r="G59" s="33">
        <f t="shared" si="1"/>
        <v>0</v>
      </c>
    </row>
    <row r="60" spans="1:16" s="18" customFormat="1" ht="18" customHeight="1" x14ac:dyDescent="0.15">
      <c r="A60" s="10" t="s">
        <v>17</v>
      </c>
      <c r="B60" s="446" t="s">
        <v>220</v>
      </c>
      <c r="C60" s="447"/>
      <c r="D60" s="341">
        <v>0.03</v>
      </c>
      <c r="E60" s="342">
        <v>0.01</v>
      </c>
      <c r="F60" s="336">
        <f>D60*E60*100</f>
        <v>0.03</v>
      </c>
      <c r="G60" s="33">
        <f t="shared" si="1"/>
        <v>0</v>
      </c>
    </row>
    <row r="61" spans="1:16" s="18" customFormat="1" ht="18" customHeight="1" x14ac:dyDescent="0.15">
      <c r="A61" s="10" t="s">
        <v>19</v>
      </c>
      <c r="B61" s="446" t="s">
        <v>20</v>
      </c>
      <c r="C61" s="447"/>
      <c r="D61" s="447"/>
      <c r="E61" s="447"/>
      <c r="F61" s="336">
        <f>IF(RIGHT($F$57,3)="Sim","",PARAMETROS!C36)</f>
        <v>1.4999999999999999E-2</v>
      </c>
      <c r="G61" s="33">
        <f t="shared" si="1"/>
        <v>0</v>
      </c>
    </row>
    <row r="62" spans="1:16" s="18" customFormat="1" ht="18" customHeight="1" x14ac:dyDescent="0.15">
      <c r="A62" s="10" t="s">
        <v>21</v>
      </c>
      <c r="B62" s="446" t="s">
        <v>22</v>
      </c>
      <c r="E62" s="447"/>
      <c r="F62" s="336">
        <f>IF(RIGHT($F$57,3)="Sim","",PARAMETROS!C37)</f>
        <v>0.01</v>
      </c>
      <c r="G62" s="33">
        <f t="shared" si="1"/>
        <v>0</v>
      </c>
    </row>
    <row r="63" spans="1:16" s="18" customFormat="1" ht="18" customHeight="1" x14ac:dyDescent="0.15">
      <c r="A63" s="10" t="s">
        <v>23</v>
      </c>
      <c r="B63" s="446" t="s">
        <v>24</v>
      </c>
      <c r="C63" s="447"/>
      <c r="D63" s="447"/>
      <c r="E63" s="447"/>
      <c r="F63" s="336">
        <f>IF(RIGHT($F$57,3)="Sim","",PARAMETROS!C38)</f>
        <v>6.0000000000000001E-3</v>
      </c>
      <c r="G63" s="33">
        <f t="shared" si="1"/>
        <v>0</v>
      </c>
    </row>
    <row r="64" spans="1:16" s="18" customFormat="1" ht="18" customHeight="1" x14ac:dyDescent="0.15">
      <c r="A64" s="10" t="s">
        <v>25</v>
      </c>
      <c r="B64" s="446" t="s">
        <v>26</v>
      </c>
      <c r="C64" s="447"/>
      <c r="D64" s="447"/>
      <c r="E64" s="447"/>
      <c r="F64" s="336">
        <f>IF(RIGHT($F$57,3)="Sim","",PARAMETROS!C39)</f>
        <v>2E-3</v>
      </c>
      <c r="G64" s="33">
        <f t="shared" si="1"/>
        <v>0</v>
      </c>
    </row>
    <row r="65" spans="1:15" s="18" customFormat="1" ht="18" customHeight="1" x14ac:dyDescent="0.15">
      <c r="A65" s="177" t="s">
        <v>27</v>
      </c>
      <c r="B65" s="273" t="s">
        <v>28</v>
      </c>
      <c r="C65" s="274"/>
      <c r="D65" s="274"/>
      <c r="E65" s="274"/>
      <c r="F65" s="337">
        <f>PARAMETROS!C40</f>
        <v>0.08</v>
      </c>
      <c r="G65" s="33">
        <f t="shared" si="1"/>
        <v>0</v>
      </c>
    </row>
    <row r="66" spans="1:15" s="18" customFormat="1" ht="18" customHeight="1" x14ac:dyDescent="0.15">
      <c r="A66" s="318"/>
      <c r="B66" s="320" t="s">
        <v>101</v>
      </c>
      <c r="C66" s="319"/>
      <c r="D66" s="319"/>
      <c r="E66" s="319"/>
      <c r="F66" s="338">
        <f>SUM(F58:F65)</f>
        <v>0.36800000000000005</v>
      </c>
      <c r="G66" s="9">
        <f>SUM(G58:G65)</f>
        <v>0</v>
      </c>
    </row>
    <row r="67" spans="1:15" s="18" customFormat="1" ht="15" customHeight="1" x14ac:dyDescent="0.15">
      <c r="E67" s="364"/>
    </row>
    <row r="68" spans="1:15" s="18" customFormat="1" ht="25.5" customHeight="1" x14ac:dyDescent="0.15">
      <c r="A68" s="29" t="s">
        <v>32</v>
      </c>
      <c r="B68" s="509" t="s">
        <v>104</v>
      </c>
      <c r="C68" s="509"/>
      <c r="D68" s="509"/>
      <c r="E68" s="509"/>
      <c r="F68" s="303" t="s">
        <v>232</v>
      </c>
      <c r="G68" s="60" t="s">
        <v>47</v>
      </c>
      <c r="N68" s="364"/>
    </row>
    <row r="69" spans="1:15" s="7" customFormat="1" ht="30" customHeight="1" x14ac:dyDescent="0.2">
      <c r="A69" s="401" t="s">
        <v>13</v>
      </c>
      <c r="B69" s="604" t="s">
        <v>230</v>
      </c>
      <c r="C69" s="605"/>
      <c r="D69" s="605"/>
      <c r="E69" s="605"/>
      <c r="F69" s="454" t="s">
        <v>139</v>
      </c>
      <c r="G69" s="455">
        <f>ROUND(IF((G24*D29)&gt;(B29*F29*G29),B29*F29*G29,(B29*F29*G29)-(G24*D29)),2)</f>
        <v>0</v>
      </c>
      <c r="H69" s="68" t="s">
        <v>106</v>
      </c>
      <c r="I69" s="68"/>
      <c r="N69" s="365"/>
    </row>
    <row r="70" spans="1:15" s="7" customFormat="1" ht="18" customHeight="1" x14ac:dyDescent="0.2">
      <c r="A70" s="350" t="s">
        <v>15</v>
      </c>
      <c r="B70" s="456" t="str">
        <f>PARAMETROS!B47</f>
        <v>Auxílio alimentação (Vales, cesta básica etc.) - 11ª</v>
      </c>
      <c r="C70" s="457"/>
      <c r="D70" s="457"/>
      <c r="E70" s="457"/>
      <c r="F70" s="458" t="s">
        <v>139</v>
      </c>
      <c r="G70" s="459">
        <f>PARAMETROS!C47</f>
        <v>0</v>
      </c>
      <c r="H70" s="68" t="s">
        <v>107</v>
      </c>
      <c r="I70" s="68">
        <f>B29*G29*22</f>
        <v>0</v>
      </c>
      <c r="K70" s="68"/>
      <c r="L70" s="68"/>
      <c r="O70" s="68"/>
    </row>
    <row r="71" spans="1:15" s="7" customFormat="1" ht="18" customHeight="1" x14ac:dyDescent="0.2">
      <c r="A71" s="350" t="s">
        <v>17</v>
      </c>
      <c r="B71" s="606" t="str">
        <f>PARAMETROS!B48</f>
        <v>Auxílio Morte/Funeral (1 sal.x3%÷12x3 = 0,0075) - 13ª</v>
      </c>
      <c r="C71" s="607"/>
      <c r="D71" s="607"/>
      <c r="E71" s="608"/>
      <c r="F71" s="458"/>
      <c r="G71" s="461">
        <f>ROUND(PARAMETROS!C48*G24,2)</f>
        <v>0</v>
      </c>
      <c r="H71" s="68" t="s">
        <v>108</v>
      </c>
      <c r="I71" s="68">
        <f>G24*0.06</f>
        <v>0</v>
      </c>
      <c r="J71" s="68"/>
    </row>
    <row r="72" spans="1:15" s="7" customFormat="1" ht="18" customHeight="1" x14ac:dyDescent="0.2">
      <c r="A72" s="350" t="s">
        <v>19</v>
      </c>
      <c r="B72" s="456" t="str">
        <f>PARAMETROS!B49</f>
        <v>Treinamento (Prog. Qual. Trabalhador) - 21ª</v>
      </c>
      <c r="C72" s="457"/>
      <c r="D72" s="457"/>
      <c r="E72" s="457"/>
      <c r="F72" s="458"/>
      <c r="G72" s="459">
        <f>PARAMETROS!C49</f>
        <v>0</v>
      </c>
    </row>
    <row r="73" spans="1:15" s="7" customFormat="1" ht="18" customHeight="1" x14ac:dyDescent="0.2">
      <c r="A73" s="350" t="s">
        <v>21</v>
      </c>
      <c r="B73" s="456" t="str">
        <f>PARAMETROS!B50</f>
        <v>EPI's (R$ 7,00) - 22ª</v>
      </c>
      <c r="C73" s="457"/>
      <c r="D73" s="457"/>
      <c r="E73" s="457"/>
      <c r="F73" s="458"/>
      <c r="G73" s="459">
        <f>PARAMETROS!C50</f>
        <v>0</v>
      </c>
    </row>
    <row r="74" spans="1:15" s="7" customFormat="1" ht="18" customHeight="1" x14ac:dyDescent="0.2">
      <c r="A74" s="350" t="s">
        <v>23</v>
      </c>
      <c r="B74" s="456" t="str">
        <f>PARAMETROS!B51</f>
        <v>Seguro de vida e acidente trabalho - 24ª</v>
      </c>
      <c r="C74" s="457"/>
      <c r="D74" s="457"/>
      <c r="E74" s="457"/>
      <c r="F74" s="458"/>
      <c r="G74" s="459">
        <f>PARAMETROS!C51</f>
        <v>0</v>
      </c>
    </row>
    <row r="75" spans="1:15" s="7" customFormat="1" ht="18" customHeight="1" x14ac:dyDescent="0.2">
      <c r="A75" s="350" t="s">
        <v>25</v>
      </c>
      <c r="B75" s="456" t="str">
        <f>PARAMETROS!B52</f>
        <v>PCMSO, PPRA e CIPA - 33ª</v>
      </c>
      <c r="C75" s="457"/>
      <c r="D75" s="457"/>
      <c r="E75" s="457"/>
      <c r="F75" s="458"/>
      <c r="G75" s="459">
        <f>PARAMETROS!C52</f>
        <v>0</v>
      </c>
    </row>
    <row r="76" spans="1:15" s="7" customFormat="1" ht="18" customHeight="1" x14ac:dyDescent="0.2">
      <c r="A76" s="350" t="s">
        <v>27</v>
      </c>
      <c r="B76" s="456" t="str">
        <f>PARAMETROS!B53</f>
        <v>Estojo primeiros socorros (R$ 4,00 por empregado) - 36ª</v>
      </c>
      <c r="C76" s="457"/>
      <c r="D76" s="457"/>
      <c r="E76" s="457"/>
      <c r="F76" s="458" t="s">
        <v>139</v>
      </c>
      <c r="G76" s="459">
        <f>PARAMETROS!C53</f>
        <v>0</v>
      </c>
    </row>
    <row r="77" spans="1:15" s="7" customFormat="1" ht="18" customHeight="1" x14ac:dyDescent="0.2">
      <c r="A77" s="354" t="s">
        <v>10</v>
      </c>
      <c r="B77" s="462" t="str">
        <f>PARAMETROS!B54</f>
        <v/>
      </c>
      <c r="C77" s="463"/>
      <c r="D77" s="463"/>
      <c r="E77" s="463"/>
      <c r="F77" s="464"/>
      <c r="G77" s="465">
        <f>PARAMETROS!C54</f>
        <v>0</v>
      </c>
    </row>
    <row r="78" spans="1:15" s="7" customFormat="1" ht="18" customHeight="1" x14ac:dyDescent="0.2">
      <c r="A78" s="150"/>
      <c r="B78" s="151" t="s">
        <v>29</v>
      </c>
      <c r="C78" s="152"/>
      <c r="D78" s="152"/>
      <c r="E78" s="152"/>
      <c r="F78" s="241">
        <f>SUMIF(F69:F77,"Sim",G69:G77)</f>
        <v>0</v>
      </c>
      <c r="G78" s="9">
        <f>SUM(G69:G77)</f>
        <v>0</v>
      </c>
    </row>
    <row r="79" spans="1:15" s="18" customFormat="1" ht="10.5" x14ac:dyDescent="0.15">
      <c r="A79" s="503" t="s">
        <v>43</v>
      </c>
      <c r="B79" s="487"/>
      <c r="C79" s="487"/>
      <c r="D79" s="487"/>
      <c r="E79" s="487"/>
      <c r="F79" s="487"/>
      <c r="G79" s="504"/>
    </row>
    <row r="80" spans="1:15" s="18" customFormat="1" ht="17.45" customHeight="1" x14ac:dyDescent="0.15">
      <c r="A80" s="599" t="s">
        <v>44</v>
      </c>
      <c r="B80" s="488"/>
      <c r="C80" s="488"/>
      <c r="D80" s="488"/>
      <c r="E80" s="488"/>
      <c r="F80" s="488"/>
      <c r="G80" s="600"/>
    </row>
    <row r="81" spans="1:14" s="18" customFormat="1" ht="10.15" customHeight="1" x14ac:dyDescent="0.15">
      <c r="A81" s="609" t="s">
        <v>231</v>
      </c>
      <c r="B81" s="610"/>
      <c r="C81" s="610"/>
      <c r="D81" s="610"/>
      <c r="E81" s="610"/>
      <c r="F81" s="610"/>
      <c r="G81" s="611"/>
    </row>
    <row r="82" spans="1:14" s="18" customFormat="1" ht="24" customHeight="1" x14ac:dyDescent="0.15">
      <c r="A82" s="70"/>
      <c r="B82" s="70"/>
      <c r="C82" s="70"/>
      <c r="D82" s="70"/>
      <c r="E82" s="70"/>
      <c r="F82" s="70"/>
      <c r="G82" s="70"/>
    </row>
    <row r="83" spans="1:14" s="133" customFormat="1" ht="24" customHeight="1" x14ac:dyDescent="0.15">
      <c r="A83" s="195" t="s">
        <v>109</v>
      </c>
      <c r="B83" s="196"/>
      <c r="C83" s="197"/>
      <c r="D83" s="197"/>
      <c r="E83" s="197"/>
      <c r="F83" s="197"/>
      <c r="G83" s="198"/>
    </row>
    <row r="84" spans="1:14" s="134" customFormat="1" ht="24" customHeight="1" x14ac:dyDescent="0.15">
      <c r="A84" s="199">
        <v>2</v>
      </c>
      <c r="B84" s="200" t="s">
        <v>110</v>
      </c>
      <c r="C84" s="201"/>
      <c r="D84" s="201"/>
      <c r="E84" s="201"/>
      <c r="F84" s="201"/>
      <c r="G84" s="202"/>
    </row>
    <row r="85" spans="1:14" s="133" customFormat="1" ht="24" customHeight="1" x14ac:dyDescent="0.15">
      <c r="A85" s="178" t="s">
        <v>98</v>
      </c>
      <c r="B85" s="196" t="s">
        <v>111</v>
      </c>
      <c r="C85" s="197"/>
      <c r="D85" s="197"/>
      <c r="E85" s="197"/>
      <c r="F85" s="434"/>
      <c r="G85" s="203">
        <f>G55</f>
        <v>0</v>
      </c>
    </row>
    <row r="86" spans="1:14" s="133" customFormat="1" ht="24" customHeight="1" x14ac:dyDescent="0.15">
      <c r="A86" s="178" t="s">
        <v>102</v>
      </c>
      <c r="B86" s="196" t="s">
        <v>112</v>
      </c>
      <c r="C86" s="197"/>
      <c r="D86" s="197"/>
      <c r="E86" s="197"/>
      <c r="F86" s="434"/>
      <c r="G86" s="203">
        <f>G66</f>
        <v>0</v>
      </c>
    </row>
    <row r="87" spans="1:14" s="133" customFormat="1" ht="24" customHeight="1" x14ac:dyDescent="0.15">
      <c r="A87" s="178" t="s">
        <v>32</v>
      </c>
      <c r="B87" s="196" t="s">
        <v>113</v>
      </c>
      <c r="C87" s="197"/>
      <c r="D87" s="197"/>
      <c r="E87" s="197"/>
      <c r="F87" s="434"/>
      <c r="G87" s="203">
        <f>G78</f>
        <v>0</v>
      </c>
    </row>
    <row r="88" spans="1:14" s="133" customFormat="1" ht="18" customHeight="1" x14ac:dyDescent="0.15">
      <c r="A88" s="204"/>
      <c r="B88" s="205" t="s">
        <v>114</v>
      </c>
      <c r="C88" s="205"/>
      <c r="D88" s="206" t="s">
        <v>101</v>
      </c>
      <c r="E88" s="205"/>
      <c r="F88" s="435"/>
      <c r="G88" s="31">
        <f>SUM(G85:G87)</f>
        <v>0</v>
      </c>
    </row>
    <row r="89" spans="1:14" s="18" customFormat="1" ht="12.75" customHeight="1" x14ac:dyDescent="0.15">
      <c r="A89" s="25"/>
      <c r="B89" s="58"/>
      <c r="C89" s="26"/>
      <c r="D89" s="26"/>
      <c r="E89" s="26"/>
      <c r="F89" s="26"/>
      <c r="G89" s="27"/>
      <c r="N89" s="317"/>
    </row>
    <row r="90" spans="1:14" s="89" customFormat="1" ht="40.15" customHeight="1" x14ac:dyDescent="0.2">
      <c r="A90" s="612" t="s">
        <v>233</v>
      </c>
      <c r="B90" s="612"/>
      <c r="C90" s="612"/>
      <c r="D90" s="612"/>
      <c r="E90" s="612"/>
      <c r="F90" s="612"/>
      <c r="G90" s="612"/>
    </row>
    <row r="91" spans="1:14" s="18" customFormat="1" ht="28.9" customHeight="1" x14ac:dyDescent="0.15">
      <c r="A91" s="28">
        <v>3</v>
      </c>
      <c r="B91" s="517" t="str">
        <f>IF(F10="Sim","Submódulo - Provisão para Rescisão - PRORROGADO", "Submódulo - Provisão para Rescisão")</f>
        <v>Submódulo - Provisão para Rescisão</v>
      </c>
      <c r="C91" s="517"/>
      <c r="D91" s="517"/>
      <c r="E91" s="67" t="s">
        <v>117</v>
      </c>
      <c r="F91" s="155" t="s">
        <v>118</v>
      </c>
      <c r="G91" s="392" t="str">
        <f>PARAMETROS!B27&amp;" "&amp;PARAMETROS!C27</f>
        <v>Conta Vinculada? Sim</v>
      </c>
      <c r="K91" s="364"/>
    </row>
    <row r="92" spans="1:14" s="18" customFormat="1" ht="18" customHeight="1" x14ac:dyDescent="0.15">
      <c r="A92" s="601" t="s">
        <v>234</v>
      </c>
      <c r="B92" s="602"/>
      <c r="C92" s="602"/>
      <c r="D92" s="602"/>
      <c r="E92" s="603"/>
      <c r="F92" s="72">
        <v>0</v>
      </c>
      <c r="G92" s="391" t="s">
        <v>47</v>
      </c>
    </row>
    <row r="93" spans="1:14" s="18" customFormat="1" ht="31.9" customHeight="1" x14ac:dyDescent="0.15">
      <c r="A93" s="8" t="s">
        <v>13</v>
      </c>
      <c r="B93" s="518" t="str">
        <f>"Aviso prévio indenizado (probabilidade utilizada = "&amp;(F93*100)&amp;"%)."</f>
        <v>Aviso prévio indenizado (probabilidade utilizada = 5,55%).</v>
      </c>
      <c r="C93" s="519"/>
      <c r="D93" s="613"/>
      <c r="E93" s="343">
        <f>(((1+(1/12)+(1/12)+(1/12/3))*F93)+(((1/30)*3*1)*F92     ))/12</f>
        <v>5.524305555555554E-3</v>
      </c>
      <c r="F93" s="72">
        <v>5.5500000000000001E-2</v>
      </c>
      <c r="G93" s="32">
        <f>ROUND(((SUM(($G$42+($G$42/12)+($G$42/12)+($G$42/12/3)))*F93)+(($G$42/30*3*1)*F92))/12,2)</f>
        <v>0</v>
      </c>
      <c r="H93" s="66"/>
      <c r="I93" s="64"/>
      <c r="K93" s="256"/>
      <c r="M93" s="64"/>
      <c r="N93" s="64">
        <f>M93/12</f>
        <v>0</v>
      </c>
    </row>
    <row r="94" spans="1:14" s="18" customFormat="1" ht="37.9" customHeight="1" x14ac:dyDescent="0.15">
      <c r="A94" s="10" t="s">
        <v>15</v>
      </c>
      <c r="B94" s="496" t="s">
        <v>119</v>
      </c>
      <c r="C94" s="497"/>
      <c r="D94" s="585"/>
      <c r="E94" s="344">
        <f>(((1+(1/12))*F93)+(((1/30)*3*1)*F92    ))/12*F94</f>
        <v>4.0083333333333334E-4</v>
      </c>
      <c r="F94" s="53">
        <f>IF(F93&gt;0,F65,0)</f>
        <v>0.08</v>
      </c>
      <c r="G94" s="33">
        <f>ROUND(((SUM(G42+G51)*F93)+((G42/30)*3*1)*F92)/12*0.08,2)</f>
        <v>0</v>
      </c>
      <c r="H94" s="64"/>
      <c r="K94" s="256"/>
      <c r="L94" s="66"/>
      <c r="M94" s="437"/>
    </row>
    <row r="95" spans="1:14" s="18" customFormat="1" ht="18.75" customHeight="1" x14ac:dyDescent="0.15">
      <c r="A95" s="10" t="s">
        <v>17</v>
      </c>
      <c r="B95" s="496" t="s">
        <v>120</v>
      </c>
      <c r="C95" s="497"/>
      <c r="D95" s="585"/>
      <c r="E95" s="252"/>
      <c r="F95" s="53"/>
      <c r="G95" s="75" t="s">
        <v>0</v>
      </c>
      <c r="H95" s="66"/>
      <c r="L95" s="64"/>
      <c r="M95" s="66"/>
    </row>
    <row r="96" spans="1:14" s="18" customFormat="1" ht="10.5" x14ac:dyDescent="0.15">
      <c r="A96" s="74" t="s">
        <v>121</v>
      </c>
      <c r="B96" s="589" t="s">
        <v>122</v>
      </c>
      <c r="C96" s="590"/>
      <c r="D96" s="591"/>
      <c r="E96" s="254">
        <f>IF(RIGHT(G91,3)="Não",E94*F96,0.02)</f>
        <v>0.02</v>
      </c>
      <c r="F96" s="385">
        <f>IF(F93&gt;0,0.4,0)</f>
        <v>0.4</v>
      </c>
      <c r="G96" s="33">
        <f>IF(RIGHT(G91,3)="Não",ROUND(G94*F96,2),ROUND(G42*E96*F96,2))</f>
        <v>0</v>
      </c>
      <c r="H96" s="66"/>
      <c r="I96" s="64">
        <f>G98*10</f>
        <v>0</v>
      </c>
      <c r="K96" s="256"/>
      <c r="M96" s="64"/>
    </row>
    <row r="97" spans="1:15" s="18" customFormat="1" ht="21.6" hidden="1" customHeight="1" x14ac:dyDescent="0.15">
      <c r="A97" s="369" t="s">
        <v>123</v>
      </c>
      <c r="B97" s="592" t="s">
        <v>198</v>
      </c>
      <c r="C97" s="593"/>
      <c r="D97" s="370" t="s">
        <v>8</v>
      </c>
      <c r="E97" s="371">
        <f>E94*F97</f>
        <v>0</v>
      </c>
      <c r="F97" s="386">
        <f>IF(D97="Sim",10%,0)</f>
        <v>0</v>
      </c>
      <c r="G97" s="372">
        <f>ROUND($G$42*E97,2)</f>
        <v>0</v>
      </c>
      <c r="H97" s="64"/>
      <c r="K97" s="256"/>
      <c r="L97" s="255"/>
    </row>
    <row r="98" spans="1:15" s="18" customFormat="1" ht="29.25" customHeight="1" x14ac:dyDescent="0.15">
      <c r="A98" s="10" t="s">
        <v>19</v>
      </c>
      <c r="B98" s="522" t="str">
        <f>"Aviso prévio trabalhado (ocorrência = "&amp;(F98*100)&amp;"%) - "&amp;I98&amp;"(*)"</f>
        <v>Aviso prévio trabalhado (ocorrência = 100%) - 1º ANO DE CONTRATO(*)</v>
      </c>
      <c r="C98" s="523"/>
      <c r="D98" s="594"/>
      <c r="E98" s="388">
        <f>IF(F10="Não",1/30*7/12,1/30*3/12)</f>
        <v>1.9444444444444445E-2</v>
      </c>
      <c r="F98" s="387">
        <v>1</v>
      </c>
      <c r="G98" s="33">
        <f>ROUND(     (G$42+G78-F78)    *E98*F98,2)</f>
        <v>0</v>
      </c>
      <c r="H98" s="64"/>
      <c r="I98" s="18" t="str">
        <f>IF(PARAMETROS!C25="Sim", "APÓS PRORROGAÇÃO", "1º ANO DE CONTRATO")</f>
        <v>1º ANO DE CONTRATO</v>
      </c>
      <c r="K98" s="256"/>
      <c r="L98" s="64"/>
      <c r="M98" s="255"/>
    </row>
    <row r="99" spans="1:15" s="18" customFormat="1" ht="33.6" customHeight="1" x14ac:dyDescent="0.15">
      <c r="A99" s="10" t="s">
        <v>21</v>
      </c>
      <c r="B99" s="496" t="s">
        <v>217</v>
      </c>
      <c r="C99" s="497"/>
      <c r="D99" s="585"/>
      <c r="E99" s="253">
        <f>E98*F66</f>
        <v>7.1555555555555565E-3</v>
      </c>
      <c r="F99" s="53"/>
      <c r="G99" s="33">
        <f>ROUND(G$42 *E99*F98,2)</f>
        <v>0</v>
      </c>
      <c r="H99" s="66"/>
      <c r="I99" s="64"/>
      <c r="K99" s="256"/>
      <c r="L99" s="317"/>
      <c r="M99" s="115"/>
    </row>
    <row r="100" spans="1:15" s="18" customFormat="1" ht="20.45" customHeight="1" x14ac:dyDescent="0.15">
      <c r="A100" s="10" t="s">
        <v>23</v>
      </c>
      <c r="B100" s="522" t="s">
        <v>235</v>
      </c>
      <c r="C100" s="523"/>
      <c r="D100" s="594"/>
      <c r="E100" s="251"/>
      <c r="F100" s="53"/>
      <c r="G100" s="75" t="s">
        <v>0</v>
      </c>
      <c r="I100" s="115"/>
      <c r="M100" s="64"/>
    </row>
    <row r="101" spans="1:15" s="18" customFormat="1" ht="10.5" x14ac:dyDescent="0.15">
      <c r="A101" s="74" t="s">
        <v>127</v>
      </c>
      <c r="B101" s="589" t="s">
        <v>122</v>
      </c>
      <c r="C101" s="590"/>
      <c r="D101" s="591"/>
      <c r="E101" s="385">
        <f>IF(RIGHT(G91,3)="Não", E98*F65*F101,0.02)</f>
        <v>0.02</v>
      </c>
      <c r="F101" s="53">
        <f>IF(F98&gt;0,40%,0)</f>
        <v>0.4</v>
      </c>
      <c r="G101" s="389">
        <f>G42*E101</f>
        <v>0</v>
      </c>
      <c r="I101" s="186"/>
      <c r="K101" s="390"/>
      <c r="L101" s="390"/>
      <c r="M101" s="436"/>
      <c r="N101" s="64"/>
    </row>
    <row r="102" spans="1:15" s="18" customFormat="1" ht="13.15" hidden="1" customHeight="1" x14ac:dyDescent="0.15">
      <c r="A102" s="373" t="s">
        <v>128</v>
      </c>
      <c r="B102" s="595" t="s">
        <v>198</v>
      </c>
      <c r="C102" s="596"/>
      <c r="D102" s="374" t="s">
        <v>8</v>
      </c>
      <c r="E102" s="375">
        <f>(1 + 0.0833 + 0.0833 + 0.0278) * F102*F$94*0.9*0.5</f>
        <v>0</v>
      </c>
      <c r="F102" s="376">
        <f>IF(D102="Sim",10%,0)</f>
        <v>0</v>
      </c>
      <c r="G102" s="377">
        <f>ROUND($G$45*E102,2)</f>
        <v>0</v>
      </c>
      <c r="H102" s="66"/>
      <c r="I102" s="64"/>
      <c r="K102" s="256"/>
      <c r="L102" s="256"/>
    </row>
    <row r="103" spans="1:15" s="18" customFormat="1" ht="18.75" hidden="1" customHeight="1" x14ac:dyDescent="0.15">
      <c r="A103" s="378" t="s">
        <v>25</v>
      </c>
      <c r="B103" s="598" t="s">
        <v>258</v>
      </c>
      <c r="C103" s="598"/>
      <c r="D103" s="598"/>
      <c r="E103" s="379"/>
      <c r="F103" s="380"/>
      <c r="G103" s="381"/>
      <c r="H103" s="66"/>
      <c r="I103" s="64"/>
      <c r="K103" s="256"/>
      <c r="L103" s="256"/>
    </row>
    <row r="104" spans="1:15" s="84" customFormat="1" ht="18" customHeight="1" x14ac:dyDescent="0.15">
      <c r="A104" s="179"/>
      <c r="B104" s="285" t="s">
        <v>101</v>
      </c>
      <c r="C104" s="285"/>
      <c r="D104" s="285"/>
      <c r="E104" s="285"/>
      <c r="F104" s="159"/>
      <c r="G104" s="160">
        <f>SUM(G93:G102)</f>
        <v>0</v>
      </c>
    </row>
    <row r="105" spans="1:15" s="18" customFormat="1" ht="12.75" customHeight="1" x14ac:dyDescent="0.15">
      <c r="A105" s="25"/>
      <c r="B105" s="58"/>
      <c r="C105" s="26"/>
      <c r="D105" s="26"/>
      <c r="E105" s="26"/>
      <c r="F105" s="26"/>
      <c r="G105" s="27"/>
    </row>
    <row r="106" spans="1:15" s="89" customFormat="1" ht="18" customHeight="1" x14ac:dyDescent="0.2">
      <c r="A106" s="123" t="s">
        <v>129</v>
      </c>
      <c r="B106" s="86"/>
      <c r="C106" s="86"/>
      <c r="D106" s="124"/>
      <c r="E106" s="124"/>
      <c r="F106" s="124"/>
      <c r="G106" s="88"/>
    </row>
    <row r="107" spans="1:15" s="18" customFormat="1" ht="24" customHeight="1" x14ac:dyDescent="0.2">
      <c r="A107" s="28" t="s">
        <v>130</v>
      </c>
      <c r="B107" s="597" t="str">
        <f>"Submódulo - Substituto nas Ausências Legais  - Vinculada? "&amp;PARAMETROS!$C$27</f>
        <v>Submódulo - Substituto nas Ausências Legais  - Vinculada? Sim</v>
      </c>
      <c r="C107" s="517"/>
      <c r="D107" s="517"/>
      <c r="E107" s="182" t="s">
        <v>259</v>
      </c>
      <c r="F107" s="257" t="s">
        <v>265</v>
      </c>
      <c r="G107" s="121" t="s">
        <v>47</v>
      </c>
      <c r="I107" s="314" t="s">
        <v>218</v>
      </c>
    </row>
    <row r="108" spans="1:15" s="18" customFormat="1" ht="28.9" customHeight="1" x14ac:dyDescent="0.15">
      <c r="A108" s="8" t="s">
        <v>13</v>
      </c>
      <c r="B108" s="541" t="s">
        <v>263</v>
      </c>
      <c r="C108" s="542"/>
      <c r="D108" s="542"/>
      <c r="E108" s="424" t="str">
        <f>(IF(RIGHT(B114,3)="Sim",1/11,"Somente na prorrogação"))</f>
        <v>Somente na prorrogação</v>
      </c>
      <c r="F108" s="427" t="str">
        <f>(IF(RIGHT(B114,3)="Sim",1,"Somente na prorrogação"))</f>
        <v>Somente na prorrogação</v>
      </c>
      <c r="G108" s="428" t="str">
        <f>IF(RIGHT(B114,3)="Não","Somente na prorrogação",ROUND(((G42+G88+G104+G136-F78-F136)/F29),2))</f>
        <v>Somente na prorrogação</v>
      </c>
      <c r="H108" s="66"/>
      <c r="I108" s="64"/>
      <c r="K108" s="64"/>
      <c r="M108" s="66"/>
      <c r="N108" s="64"/>
      <c r="O108" s="64"/>
    </row>
    <row r="109" spans="1:15" s="18" customFormat="1" ht="28.9" customHeight="1" x14ac:dyDescent="0.15">
      <c r="A109" s="10" t="s">
        <v>15</v>
      </c>
      <c r="B109" s="496" t="str">
        <f>"Substituto nas Ausências legais ("&amp;(F109)&amp;" faltas/ano)"</f>
        <v>Substituto nas Ausências legais (8 faltas/ano)</v>
      </c>
      <c r="C109" s="497"/>
      <c r="D109" s="497"/>
      <c r="E109" s="425">
        <f>ROUND((F109/30/12),4)</f>
        <v>2.2200000000000001E-2</v>
      </c>
      <c r="F109" s="259">
        <v>8</v>
      </c>
      <c r="G109" s="33">
        <f>(G42+G88+G104)/30/12*F109</f>
        <v>0</v>
      </c>
      <c r="H109" s="66"/>
      <c r="I109" s="64"/>
      <c r="M109" s="66"/>
      <c r="N109" s="66"/>
    </row>
    <row r="110" spans="1:15" s="18" customFormat="1" ht="28.9" customHeight="1" x14ac:dyDescent="0.15">
      <c r="A110" s="10" t="s">
        <v>17</v>
      </c>
      <c r="B110" s="496" t="str">
        <f>"Substituto Licença paternidade (probabilidade de ocorrência = "&amp;(F110*100)&amp;"%/ano)"</f>
        <v>Substituto Licença paternidade (probabilidade de ocorrência = 2%/ano)</v>
      </c>
      <c r="C110" s="497"/>
      <c r="D110" s="497"/>
      <c r="E110" s="425">
        <f>ROUND((5/30/12) * F110,4)</f>
        <v>2.9999999999999997E-4</v>
      </c>
      <c r="F110" s="258">
        <v>0.02</v>
      </c>
      <c r="G110" s="33">
        <f>ROUND(G$45/30*5/12*F110,2)</f>
        <v>0</v>
      </c>
      <c r="N110" s="64"/>
    </row>
    <row r="111" spans="1:15" s="18" customFormat="1" ht="28.9" customHeight="1" x14ac:dyDescent="0.15">
      <c r="A111" s="10" t="s">
        <v>19</v>
      </c>
      <c r="B111" s="496" t="str">
        <f>"Substituto Ausência por acidente de trabalho (probabilidade de ocorrência = "&amp;(F111)&amp;" Faltas/ano)"</f>
        <v>Substituto Ausência por acidente de trabalho (probabilidade de ocorrência = 5 Faltas/ano)</v>
      </c>
      <c r="C111" s="497"/>
      <c r="D111" s="585"/>
      <c r="E111" s="425">
        <f>ROUND((F111/30/12 ),4)</f>
        <v>1.3899999999999999E-2</v>
      </c>
      <c r="F111" s="259">
        <v>5</v>
      </c>
      <c r="G111" s="33">
        <f>((G45)+G88+G104)/30/12*F111</f>
        <v>0</v>
      </c>
      <c r="H111" s="64"/>
      <c r="N111" s="64"/>
    </row>
    <row r="112" spans="1:15" s="18" customFormat="1" ht="28.9" customHeight="1" x14ac:dyDescent="0.15">
      <c r="A112" s="10" t="s">
        <v>21</v>
      </c>
      <c r="B112" s="496" t="str">
        <f>"Substituto Licença maternidade (probabilidade de ocorrência = "&amp;(F112*100)&amp;"% ao ano)"</f>
        <v>Substituto Licença maternidade (probabilidade de ocorrência = 5,28% ao ano)</v>
      </c>
      <c r="C112" s="497"/>
      <c r="D112" s="585"/>
      <c r="E112" s="425">
        <f>((1/12)+(1/3/12)) * F112 * (6/12)</f>
        <v>2.9333333333333334E-3</v>
      </c>
      <c r="F112" s="258">
        <v>5.28E-2</v>
      </c>
      <c r="G112" s="33">
        <f>ROUND(G$45/30*5/12*F112,2)</f>
        <v>0</v>
      </c>
    </row>
    <row r="113" spans="1:14" s="18" customFormat="1" ht="28.9" customHeight="1" x14ac:dyDescent="0.15">
      <c r="A113" s="10" t="s">
        <v>23</v>
      </c>
      <c r="B113" s="586" t="s">
        <v>133</v>
      </c>
      <c r="C113" s="587"/>
      <c r="D113" s="588"/>
      <c r="E113" s="426"/>
      <c r="F113" s="315" t="s">
        <v>0</v>
      </c>
      <c r="G113" s="34"/>
      <c r="H113" s="64"/>
    </row>
    <row r="114" spans="1:14" s="18" customFormat="1" ht="18" customHeight="1" x14ac:dyDescent="0.15">
      <c r="A114" s="318"/>
      <c r="B114" s="423" t="str">
        <f>"Contrato prorrogado? "&amp;F10</f>
        <v>Contrato prorrogado? Não</v>
      </c>
      <c r="C114" s="286"/>
      <c r="D114" s="286"/>
      <c r="E114" s="180" t="s">
        <v>260</v>
      </c>
      <c r="F114" s="47"/>
      <c r="G114" s="11">
        <f>SUM(G108:G113)</f>
        <v>0</v>
      </c>
      <c r="K114" s="255"/>
      <c r="L114" s="255"/>
    </row>
    <row r="115" spans="1:14" s="18" customFormat="1" ht="10.5" x14ac:dyDescent="0.15">
      <c r="A115" s="328"/>
      <c r="B115" s="328"/>
      <c r="C115" s="328"/>
      <c r="D115" s="328"/>
      <c r="E115" s="328"/>
      <c r="F115" s="328"/>
      <c r="G115" s="328"/>
    </row>
    <row r="116" spans="1:14" s="18" customFormat="1" ht="24" customHeight="1" x14ac:dyDescent="0.15">
      <c r="A116" s="29" t="s">
        <v>136</v>
      </c>
      <c r="B116" s="508" t="s">
        <v>137</v>
      </c>
      <c r="C116" s="509"/>
      <c r="D116" s="509"/>
      <c r="E116" s="509"/>
      <c r="F116" s="510"/>
      <c r="G116" s="121" t="s">
        <v>47</v>
      </c>
    </row>
    <row r="117" spans="1:14" s="18" customFormat="1" ht="22.5" customHeight="1" x14ac:dyDescent="0.15">
      <c r="A117" s="8" t="s">
        <v>13</v>
      </c>
      <c r="B117" s="527" t="s">
        <v>138</v>
      </c>
      <c r="C117" s="528"/>
      <c r="D117" s="528"/>
      <c r="E117" s="528"/>
      <c r="F117" s="287" t="s">
        <v>8</v>
      </c>
      <c r="G117" s="32" t="str">
        <f>IF(F117="Sim",ROUND(G$45/$G$30*22*(F118*24),4),"")</f>
        <v/>
      </c>
      <c r="H117" s="66"/>
      <c r="I117" s="64"/>
    </row>
    <row r="118" spans="1:14" s="18" customFormat="1" ht="22.5" customHeight="1" x14ac:dyDescent="0.15">
      <c r="A118" s="177" t="s">
        <v>140</v>
      </c>
      <c r="B118" s="498" t="s">
        <v>141</v>
      </c>
      <c r="C118" s="499"/>
      <c r="D118" s="499"/>
      <c r="E118" s="499"/>
      <c r="F118" s="157">
        <v>4.1666666666666664E-2</v>
      </c>
      <c r="G118" s="34"/>
      <c r="H118" s="64"/>
      <c r="N118" s="115"/>
    </row>
    <row r="119" spans="1:14" s="18" customFormat="1" ht="18" customHeight="1" x14ac:dyDescent="0.15">
      <c r="A119" s="316"/>
      <c r="B119" s="205" t="s">
        <v>101</v>
      </c>
      <c r="C119" s="205"/>
      <c r="D119" s="205"/>
      <c r="E119" s="205"/>
      <c r="F119" s="207"/>
      <c r="G119" s="12">
        <f>SUM(G117:G118)</f>
        <v>0</v>
      </c>
    </row>
    <row r="120" spans="1:14" s="18" customFormat="1" ht="10.5" x14ac:dyDescent="0.15">
      <c r="A120" s="531" t="s">
        <v>142</v>
      </c>
      <c r="B120" s="513"/>
      <c r="C120" s="513"/>
      <c r="D120" s="513"/>
      <c r="E120" s="513"/>
      <c r="F120" s="513"/>
      <c r="G120" s="532"/>
    </row>
    <row r="121" spans="1:14" s="18" customFormat="1" ht="10.5" x14ac:dyDescent="0.15">
      <c r="A121" s="582" t="s">
        <v>219</v>
      </c>
      <c r="B121" s="583"/>
      <c r="C121" s="583"/>
      <c r="D121" s="583"/>
      <c r="E121" s="583"/>
      <c r="F121" s="583"/>
      <c r="G121" s="584"/>
    </row>
    <row r="122" spans="1:14" s="18" customFormat="1" ht="17.25" customHeight="1" x14ac:dyDescent="0.15">
      <c r="A122" s="70"/>
      <c r="B122" s="70"/>
      <c r="C122" s="70"/>
      <c r="D122" s="70"/>
      <c r="E122" s="70"/>
      <c r="F122" s="70"/>
      <c r="G122" s="70"/>
    </row>
    <row r="123" spans="1:14" s="133" customFormat="1" ht="24" customHeight="1" x14ac:dyDescent="0.15">
      <c r="A123" s="135" t="s">
        <v>144</v>
      </c>
      <c r="B123" s="141"/>
      <c r="C123" s="142"/>
      <c r="D123" s="142"/>
      <c r="E123" s="142"/>
      <c r="F123" s="142"/>
      <c r="G123" s="143"/>
    </row>
    <row r="124" spans="1:14" s="134" customFormat="1" ht="24" customHeight="1" x14ac:dyDescent="0.15">
      <c r="A124" s="136">
        <v>4</v>
      </c>
      <c r="B124" s="137" t="s">
        <v>110</v>
      </c>
      <c r="C124" s="138"/>
      <c r="D124" s="138"/>
      <c r="E124" s="138"/>
      <c r="F124" s="138"/>
      <c r="G124" s="139"/>
    </row>
    <row r="125" spans="1:14" s="133" customFormat="1" ht="24" customHeight="1" x14ac:dyDescent="0.15">
      <c r="A125" s="140" t="s">
        <v>130</v>
      </c>
      <c r="B125" s="141" t="s">
        <v>145</v>
      </c>
      <c r="C125" s="142"/>
      <c r="D125" s="142"/>
      <c r="E125" s="142"/>
      <c r="F125" s="143"/>
      <c r="G125" s="149">
        <f>G114</f>
        <v>0</v>
      </c>
    </row>
    <row r="126" spans="1:14" s="133" customFormat="1" ht="24" customHeight="1" x14ac:dyDescent="0.15">
      <c r="A126" s="140" t="s">
        <v>136</v>
      </c>
      <c r="B126" s="141" t="s">
        <v>146</v>
      </c>
      <c r="C126" s="142"/>
      <c r="D126" s="142"/>
      <c r="E126" s="142"/>
      <c r="F126" s="143"/>
      <c r="G126" s="149">
        <f>G119</f>
        <v>0</v>
      </c>
    </row>
    <row r="127" spans="1:14" s="133" customFormat="1" ht="24" customHeight="1" x14ac:dyDescent="0.15">
      <c r="A127" s="140"/>
      <c r="B127" s="141"/>
      <c r="C127" s="142"/>
      <c r="D127" s="142"/>
      <c r="E127" s="142"/>
      <c r="F127" s="143"/>
      <c r="G127" s="149"/>
    </row>
    <row r="128" spans="1:14" s="133" customFormat="1" ht="18" customHeight="1" x14ac:dyDescent="0.15">
      <c r="A128" s="147"/>
      <c r="B128" s="144" t="s">
        <v>114</v>
      </c>
      <c r="C128" s="144"/>
      <c r="D128" s="148" t="s">
        <v>101</v>
      </c>
      <c r="E128" s="144"/>
      <c r="F128" s="145"/>
      <c r="G128" s="146">
        <f>SUM(G125:G127)</f>
        <v>0</v>
      </c>
    </row>
    <row r="129" spans="1:9" s="18" customFormat="1" ht="18" customHeight="1" x14ac:dyDescent="0.15">
      <c r="A129" s="25"/>
      <c r="B129" s="58"/>
      <c r="C129" s="26"/>
      <c r="D129" s="26"/>
      <c r="E129" s="26"/>
      <c r="F129" s="26"/>
      <c r="G129" s="27"/>
    </row>
    <row r="130" spans="1:9" s="129" customFormat="1" ht="18" customHeight="1" x14ac:dyDescent="0.2">
      <c r="A130" s="123" t="s">
        <v>45</v>
      </c>
      <c r="B130" s="126"/>
      <c r="C130" s="126"/>
      <c r="D130" s="127"/>
      <c r="E130" s="127"/>
      <c r="F130" s="127"/>
      <c r="G130" s="128"/>
    </row>
    <row r="131" spans="1:9" s="130" customFormat="1" ht="18" customHeight="1" x14ac:dyDescent="0.2">
      <c r="A131" s="6">
        <v>5</v>
      </c>
      <c r="B131" s="62" t="s">
        <v>46</v>
      </c>
      <c r="C131" s="285"/>
      <c r="D131" s="285"/>
      <c r="E131" s="285"/>
      <c r="F131" s="429" t="s">
        <v>261</v>
      </c>
      <c r="G131" s="60" t="s">
        <v>47</v>
      </c>
    </row>
    <row r="132" spans="1:9" s="130" customFormat="1" ht="18" customHeight="1" x14ac:dyDescent="0.2">
      <c r="A132" s="8" t="s">
        <v>13</v>
      </c>
      <c r="B132" s="448" t="s">
        <v>48</v>
      </c>
      <c r="C132" s="449"/>
      <c r="D132" s="449"/>
      <c r="E132" s="449"/>
      <c r="F132" s="430"/>
      <c r="G132" s="161">
        <f>PARAMETROS!C59</f>
        <v>0</v>
      </c>
      <c r="I132" s="131"/>
    </row>
    <row r="133" spans="1:9" s="130" customFormat="1" ht="18" customHeight="1" x14ac:dyDescent="0.2">
      <c r="A133" s="10" t="s">
        <v>15</v>
      </c>
      <c r="B133" s="446" t="s">
        <v>49</v>
      </c>
      <c r="C133" s="447"/>
      <c r="D133" s="447"/>
      <c r="E133" s="447"/>
      <c r="F133" s="431" t="s">
        <v>139</v>
      </c>
      <c r="G133" s="161">
        <f>PARAMETROS!C60</f>
        <v>0</v>
      </c>
    </row>
    <row r="134" spans="1:9" s="130" customFormat="1" ht="18" customHeight="1" x14ac:dyDescent="0.2">
      <c r="A134" s="10" t="s">
        <v>17</v>
      </c>
      <c r="B134" s="446" t="s">
        <v>50</v>
      </c>
      <c r="C134" s="447"/>
      <c r="D134" s="447"/>
      <c r="E134" s="447"/>
      <c r="F134" s="431" t="s">
        <v>139</v>
      </c>
      <c r="G134" s="161">
        <f>PARAMETROS!C61</f>
        <v>0</v>
      </c>
    </row>
    <row r="135" spans="1:9" s="130" customFormat="1" ht="18" customHeight="1" x14ac:dyDescent="0.2">
      <c r="A135" s="177" t="s">
        <v>25</v>
      </c>
      <c r="B135" s="273" t="s">
        <v>51</v>
      </c>
      <c r="C135" s="274"/>
      <c r="D135" s="274"/>
      <c r="E135" s="274"/>
      <c r="F135" s="432"/>
      <c r="G135" s="161">
        <f>PARAMETROS!C62</f>
        <v>0</v>
      </c>
    </row>
    <row r="136" spans="1:9" s="130" customFormat="1" ht="18" customHeight="1" x14ac:dyDescent="0.2">
      <c r="A136" s="13"/>
      <c r="B136" s="180" t="s">
        <v>29</v>
      </c>
      <c r="C136" s="52"/>
      <c r="D136" s="52"/>
      <c r="E136" s="52"/>
      <c r="F136" s="433">
        <f>SUMIF(F132:F135,"Sim",G132:G135)</f>
        <v>0</v>
      </c>
      <c r="G136" s="14">
        <f>SUM(G132:G135)</f>
        <v>0</v>
      </c>
    </row>
    <row r="137" spans="1:9" s="76" customFormat="1" ht="15.75" customHeight="1" x14ac:dyDescent="0.15">
      <c r="A137" s="77"/>
      <c r="B137" s="78"/>
      <c r="C137" s="77"/>
      <c r="D137" s="77"/>
      <c r="E137" s="77"/>
      <c r="F137" s="77"/>
      <c r="G137" s="77"/>
    </row>
    <row r="138" spans="1:9" s="89" customFormat="1" ht="18" customHeight="1" x14ac:dyDescent="0.2">
      <c r="A138" s="85" t="s">
        <v>149</v>
      </c>
      <c r="B138" s="86"/>
      <c r="C138" s="86"/>
      <c r="D138" s="87"/>
      <c r="E138" s="87"/>
      <c r="F138" s="87"/>
      <c r="G138" s="88"/>
    </row>
    <row r="139" spans="1:9" s="18" customFormat="1" ht="18" customHeight="1" x14ac:dyDescent="0.15">
      <c r="A139" s="28">
        <v>6</v>
      </c>
      <c r="B139" s="61" t="s">
        <v>150</v>
      </c>
      <c r="C139" s="445"/>
      <c r="D139" s="445"/>
      <c r="E139" s="445"/>
      <c r="F139" s="54" t="s">
        <v>12</v>
      </c>
      <c r="G139" s="60" t="s">
        <v>47</v>
      </c>
    </row>
    <row r="140" spans="1:9" s="18" customFormat="1" ht="19.5" customHeight="1" x14ac:dyDescent="0.15">
      <c r="A140" s="8" t="s">
        <v>13</v>
      </c>
      <c r="B140" s="489" t="s">
        <v>151</v>
      </c>
      <c r="C140" s="490"/>
      <c r="D140" s="490"/>
      <c r="E140" s="490"/>
      <c r="F140" s="72">
        <v>0.1</v>
      </c>
      <c r="G140" s="91">
        <f>ROUND(($G$45+$G$88+$G$104+$G$128+$G$136)*F140,2)</f>
        <v>0</v>
      </c>
      <c r="H140" s="64"/>
    </row>
    <row r="141" spans="1:9" s="18" customFormat="1" ht="19.5" customHeight="1" x14ac:dyDescent="0.15">
      <c r="A141" s="179" t="s">
        <v>15</v>
      </c>
      <c r="B141" s="489" t="s">
        <v>264</v>
      </c>
      <c r="C141" s="490"/>
      <c r="D141" s="490"/>
      <c r="E141" s="490"/>
      <c r="F141" s="92">
        <v>0.1</v>
      </c>
      <c r="G141" s="91">
        <f>ROUND(($G$45+$G$88+$G$104+$G$128+$G$136+$G$140)*F141,2)</f>
        <v>0</v>
      </c>
    </row>
    <row r="142" spans="1:9" s="18" customFormat="1" ht="18" customHeight="1" x14ac:dyDescent="0.15">
      <c r="A142" s="179" t="s">
        <v>17</v>
      </c>
      <c r="B142" s="63" t="s">
        <v>153</v>
      </c>
      <c r="C142" s="93"/>
      <c r="D142" s="93"/>
      <c r="E142" s="93"/>
      <c r="F142" s="35">
        <f>SUM(F144:F149)</f>
        <v>8.6499999999999994E-2</v>
      </c>
      <c r="G142" s="36"/>
    </row>
    <row r="143" spans="1:9" s="18" customFormat="1" ht="18" customHeight="1" x14ac:dyDescent="0.15">
      <c r="A143" s="179"/>
      <c r="B143" s="63" t="s">
        <v>154</v>
      </c>
      <c r="C143" s="93"/>
      <c r="D143" s="93"/>
      <c r="E143" s="93"/>
      <c r="F143" s="35"/>
      <c r="G143" s="31"/>
    </row>
    <row r="144" spans="1:9" s="18" customFormat="1" ht="18" customHeight="1" x14ac:dyDescent="0.15">
      <c r="A144" s="10"/>
      <c r="B144" s="162" t="s">
        <v>155</v>
      </c>
      <c r="C144" s="163"/>
      <c r="D144" s="163"/>
      <c r="E144" s="163"/>
      <c r="F144" s="164">
        <v>6.4999999999999997E-3</v>
      </c>
      <c r="G144" s="165">
        <f>ROUND($G$153*F144,2)</f>
        <v>0</v>
      </c>
    </row>
    <row r="145" spans="1:15" s="18" customFormat="1" ht="18" customHeight="1" x14ac:dyDescent="0.15">
      <c r="A145" s="10"/>
      <c r="B145" s="162" t="s">
        <v>156</v>
      </c>
      <c r="C145" s="163"/>
      <c r="D145" s="163"/>
      <c r="E145" s="163"/>
      <c r="F145" s="164">
        <v>0.03</v>
      </c>
      <c r="G145" s="165">
        <f>ROUND($G$153*F145,2)</f>
        <v>0</v>
      </c>
    </row>
    <row r="146" spans="1:15" s="18" customFormat="1" ht="18" customHeight="1" x14ac:dyDescent="0.15">
      <c r="A146" s="179"/>
      <c r="B146" s="63" t="s">
        <v>157</v>
      </c>
      <c r="C146" s="93"/>
      <c r="D146" s="93"/>
      <c r="E146" s="93"/>
      <c r="F146" s="92"/>
      <c r="G146" s="160"/>
    </row>
    <row r="147" spans="1:15" s="18" customFormat="1" ht="18" customHeight="1" x14ac:dyDescent="0.15">
      <c r="A147" s="179"/>
      <c r="B147" s="63" t="s">
        <v>158</v>
      </c>
      <c r="C147" s="93"/>
      <c r="D147" s="93"/>
      <c r="E147" s="93"/>
      <c r="F147" s="35"/>
      <c r="G147" s="160"/>
    </row>
    <row r="148" spans="1:15" s="18" customFormat="1" ht="18" customHeight="1" x14ac:dyDescent="0.15">
      <c r="A148" s="8"/>
      <c r="B148" s="166" t="s">
        <v>159</v>
      </c>
      <c r="C148" s="168"/>
      <c r="D148" s="168"/>
      <c r="E148" s="168"/>
      <c r="F148" s="167">
        <v>0.05</v>
      </c>
      <c r="G148" s="165">
        <f>ROUND($G$153*F148,2)</f>
        <v>0</v>
      </c>
    </row>
    <row r="149" spans="1:15" s="18" customFormat="1" ht="18" customHeight="1" x14ac:dyDescent="0.15">
      <c r="A149" s="179"/>
      <c r="B149" s="63" t="s">
        <v>160</v>
      </c>
      <c r="C149" s="93"/>
      <c r="D149" s="93"/>
      <c r="E149" s="93"/>
      <c r="F149" s="35"/>
      <c r="G149" s="14"/>
    </row>
    <row r="150" spans="1:15" s="18" customFormat="1" ht="18" customHeight="1" x14ac:dyDescent="0.15">
      <c r="A150" s="179"/>
      <c r="B150" s="285" t="s">
        <v>101</v>
      </c>
      <c r="C150" s="285"/>
      <c r="D150" s="285"/>
      <c r="E150" s="285"/>
      <c r="F150" s="35"/>
      <c r="G150" s="31">
        <f>SUM(G140:G149)</f>
        <v>0</v>
      </c>
      <c r="N150" s="64"/>
      <c r="O150" s="64"/>
    </row>
    <row r="151" spans="1:15" s="7" customFormat="1" ht="18" customHeight="1" x14ac:dyDescent="0.2">
      <c r="A151" s="38" t="str">
        <f>"a) F = Tributos (%) /100"&amp;" = "&amp;(F142*100)&amp;"% / 100 = "&amp;ROUND((F142*100)/100,4)</f>
        <v>a) F = Tributos (%) /100 = 8,65% / 100 = 0,0865</v>
      </c>
      <c r="B151" s="39"/>
      <c r="C151" s="39"/>
      <c r="D151" s="39"/>
      <c r="E151" s="39"/>
      <c r="F151" s="39"/>
      <c r="G151" s="40"/>
      <c r="H151" s="49"/>
      <c r="I151" s="50"/>
    </row>
    <row r="152" spans="1:15" s="7" customFormat="1" ht="18" customHeight="1" x14ac:dyDescent="0.2">
      <c r="A152" s="42" t="s">
        <v>161</v>
      </c>
      <c r="B152" s="41"/>
      <c r="C152" s="41"/>
      <c r="D152" s="41"/>
      <c r="E152" s="41"/>
      <c r="F152" s="41"/>
      <c r="G152" s="37">
        <f>ROUND(($G$45+$G$88+$G$104+$G$128+$G$136+$G$140+$G$141),2)</f>
        <v>0</v>
      </c>
      <c r="H152" s="46"/>
      <c r="I152" s="50"/>
      <c r="N152" s="68"/>
      <c r="O152" s="68"/>
    </row>
    <row r="153" spans="1:15" s="7" customFormat="1" ht="18" customHeight="1" x14ac:dyDescent="0.2">
      <c r="A153" s="42" t="str">
        <f>"c) PF= P / (1 - F) = P  / (1 - "&amp;F142&amp;") =  P / "&amp;(1-F142)&amp;" = "</f>
        <v xml:space="preserve">c) PF= P / (1 - F) = P  / (1 - 0,0865) =  P / 0,9135 = </v>
      </c>
      <c r="B153" s="41"/>
      <c r="C153" s="41"/>
      <c r="D153" s="41"/>
      <c r="E153" s="41"/>
      <c r="F153" s="41"/>
      <c r="G153" s="37">
        <f>ROUND(G152/ (1-$F142),2)</f>
        <v>0</v>
      </c>
      <c r="H153" s="46"/>
      <c r="I153" s="50"/>
      <c r="O153" s="68"/>
    </row>
    <row r="154" spans="1:15" s="7" customFormat="1" ht="18" customHeight="1" x14ac:dyDescent="0.2">
      <c r="A154" s="43" t="str">
        <f>"VALOR DOS TRIBUTOS = PF - P =  "</f>
        <v xml:space="preserve">VALOR DOS TRIBUTOS = PF - P =  </v>
      </c>
      <c r="B154" s="44"/>
      <c r="C154" s="44"/>
      <c r="D154" s="44"/>
      <c r="E154" s="44"/>
      <c r="F154" s="45"/>
      <c r="G154" s="48">
        <f>G153-G152</f>
        <v>0</v>
      </c>
      <c r="H154" s="46"/>
      <c r="I154" s="50"/>
    </row>
    <row r="155" spans="1:15" s="7" customFormat="1" ht="10.5" x14ac:dyDescent="0.2">
      <c r="A155" s="329" t="s">
        <v>162</v>
      </c>
      <c r="B155" s="330" t="s">
        <v>163</v>
      </c>
      <c r="C155" s="331"/>
      <c r="D155" s="331"/>
      <c r="E155" s="331"/>
      <c r="F155" s="39"/>
      <c r="G155" s="332"/>
      <c r="H155" s="46"/>
      <c r="I155" s="50"/>
    </row>
    <row r="156" spans="1:15" s="7" customFormat="1" ht="10.5" x14ac:dyDescent="0.2">
      <c r="A156" s="333"/>
      <c r="B156" s="79" t="s">
        <v>164</v>
      </c>
      <c r="C156" s="95"/>
      <c r="D156" s="95"/>
      <c r="E156" s="95"/>
      <c r="F156" s="41"/>
      <c r="G156" s="334"/>
      <c r="H156" s="46"/>
      <c r="I156" s="50"/>
    </row>
    <row r="157" spans="1:15" s="7" customFormat="1" ht="10.5" x14ac:dyDescent="0.2">
      <c r="A157" s="333"/>
      <c r="B157" s="79" t="s">
        <v>165</v>
      </c>
      <c r="C157" s="95"/>
      <c r="D157" s="95"/>
      <c r="E157" s="95"/>
      <c r="F157" s="41"/>
      <c r="G157" s="334"/>
      <c r="H157" s="46"/>
      <c r="I157" s="50"/>
    </row>
    <row r="158" spans="1:15" s="7" customFormat="1" ht="10.5" x14ac:dyDescent="0.2">
      <c r="A158" s="43"/>
      <c r="B158" s="440"/>
      <c r="C158" s="44"/>
      <c r="D158" s="44"/>
      <c r="E158" s="44"/>
      <c r="F158" s="45"/>
      <c r="G158" s="48"/>
      <c r="H158" s="46"/>
      <c r="I158" s="50"/>
    </row>
    <row r="159" spans="1:15" ht="18" customHeight="1" x14ac:dyDescent="0.15">
      <c r="H159" s="51"/>
      <c r="I159" s="51"/>
    </row>
    <row r="160" spans="1:15" s="89" customFormat="1" ht="18" customHeight="1" x14ac:dyDescent="0.2">
      <c r="A160" s="90" t="s">
        <v>166</v>
      </c>
      <c r="B160" s="86"/>
      <c r="C160" s="86"/>
      <c r="D160" s="87"/>
      <c r="E160" s="87"/>
      <c r="F160" s="87"/>
      <c r="G160" s="88"/>
    </row>
    <row r="161" spans="1:9" s="18" customFormat="1" ht="21.75" customHeight="1" x14ac:dyDescent="0.15">
      <c r="A161" s="97"/>
      <c r="B161" s="491" t="s">
        <v>167</v>
      </c>
      <c r="C161" s="491"/>
      <c r="D161" s="491"/>
      <c r="E161" s="491"/>
      <c r="F161" s="492"/>
      <c r="G161" s="98" t="s">
        <v>47</v>
      </c>
      <c r="H161" s="25"/>
      <c r="I161" s="25"/>
    </row>
    <row r="162" spans="1:9" s="18" customFormat="1" ht="21.75" customHeight="1" x14ac:dyDescent="0.15">
      <c r="A162" s="100" t="s">
        <v>13</v>
      </c>
      <c r="B162" s="101" t="s">
        <v>168</v>
      </c>
      <c r="C162" s="102"/>
      <c r="D162" s="102"/>
      <c r="E162" s="102"/>
      <c r="F162" s="103"/>
      <c r="G162" s="169">
        <f>$G$45</f>
        <v>0</v>
      </c>
    </row>
    <row r="163" spans="1:9" s="18" customFormat="1" ht="21.75" customHeight="1" x14ac:dyDescent="0.15">
      <c r="A163" s="104" t="s">
        <v>15</v>
      </c>
      <c r="B163" s="105" t="s">
        <v>169</v>
      </c>
      <c r="C163" s="106"/>
      <c r="D163" s="106"/>
      <c r="E163" s="106"/>
      <c r="F163" s="69"/>
      <c r="G163" s="170">
        <f>$G$88</f>
        <v>0</v>
      </c>
    </row>
    <row r="164" spans="1:9" s="18" customFormat="1" ht="21.75" customHeight="1" x14ac:dyDescent="0.15">
      <c r="A164" s="104" t="s">
        <v>17</v>
      </c>
      <c r="B164" s="105" t="s">
        <v>170</v>
      </c>
      <c r="C164" s="106"/>
      <c r="D164" s="106"/>
      <c r="E164" s="106"/>
      <c r="F164" s="69"/>
      <c r="G164" s="170">
        <f>$G$104</f>
        <v>0</v>
      </c>
    </row>
    <row r="165" spans="1:9" s="18" customFormat="1" ht="21.75" customHeight="1" x14ac:dyDescent="0.15">
      <c r="A165" s="104" t="s">
        <v>19</v>
      </c>
      <c r="B165" s="105" t="s">
        <v>171</v>
      </c>
      <c r="C165" s="106"/>
      <c r="D165" s="106"/>
      <c r="E165" s="106"/>
      <c r="F165" s="69"/>
      <c r="G165" s="170">
        <f>$G$128</f>
        <v>0</v>
      </c>
    </row>
    <row r="166" spans="1:9" s="18" customFormat="1" ht="21.75" customHeight="1" x14ac:dyDescent="0.15">
      <c r="A166" s="104" t="s">
        <v>21</v>
      </c>
      <c r="B166" s="105" t="s">
        <v>172</v>
      </c>
      <c r="C166" s="106"/>
      <c r="D166" s="106"/>
      <c r="E166" s="106"/>
      <c r="F166" s="69"/>
      <c r="G166" s="170">
        <f>$G$136</f>
        <v>0</v>
      </c>
    </row>
    <row r="167" spans="1:9" s="18" customFormat="1" ht="21.75" customHeight="1" x14ac:dyDescent="0.15">
      <c r="A167" s="104"/>
      <c r="B167" s="107" t="s">
        <v>173</v>
      </c>
      <c r="C167" s="106"/>
      <c r="D167" s="106"/>
      <c r="E167" s="106"/>
      <c r="F167" s="69"/>
      <c r="G167" s="171">
        <f>SUM(G162:G166)</f>
        <v>0</v>
      </c>
    </row>
    <row r="168" spans="1:9" s="18" customFormat="1" ht="21.75" customHeight="1" x14ac:dyDescent="0.15">
      <c r="A168" s="109" t="s">
        <v>23</v>
      </c>
      <c r="B168" s="110" t="s">
        <v>174</v>
      </c>
      <c r="C168" s="111"/>
      <c r="D168" s="111"/>
      <c r="E168" s="111"/>
      <c r="F168" s="112"/>
      <c r="G168" s="172">
        <f>$G$150</f>
        <v>0</v>
      </c>
    </row>
    <row r="169" spans="1:9" s="18" customFormat="1" ht="21.75" customHeight="1" x14ac:dyDescent="0.15">
      <c r="A169" s="113"/>
      <c r="B169" s="99" t="s">
        <v>175</v>
      </c>
      <c r="C169" s="99"/>
      <c r="D169" s="99"/>
      <c r="E169" s="99"/>
      <c r="F169" s="114"/>
      <c r="G169" s="173">
        <f>SUM(G167:G168)</f>
        <v>0</v>
      </c>
      <c r="H169" s="64"/>
      <c r="I169" s="64"/>
    </row>
  </sheetData>
  <mergeCells count="74">
    <mergeCell ref="B11:E11"/>
    <mergeCell ref="A2:G2"/>
    <mergeCell ref="A3:G3"/>
    <mergeCell ref="A5:G5"/>
    <mergeCell ref="A6:G6"/>
    <mergeCell ref="B10:E10"/>
    <mergeCell ref="B25:F25"/>
    <mergeCell ref="A14:B14"/>
    <mergeCell ref="E14:F14"/>
    <mergeCell ref="A15:B15"/>
    <mergeCell ref="E15:F15"/>
    <mergeCell ref="A16:B16"/>
    <mergeCell ref="E16:F16"/>
    <mergeCell ref="A17:B17"/>
    <mergeCell ref="E17:F17"/>
    <mergeCell ref="A22:F22"/>
    <mergeCell ref="B23:F23"/>
    <mergeCell ref="B24:F24"/>
    <mergeCell ref="B42:E42"/>
    <mergeCell ref="B26:F26"/>
    <mergeCell ref="B27:F27"/>
    <mergeCell ref="A28:A29"/>
    <mergeCell ref="B28:C28"/>
    <mergeCell ref="D28:E28"/>
    <mergeCell ref="B29:C29"/>
    <mergeCell ref="D29:E29"/>
    <mergeCell ref="B30:C30"/>
    <mergeCell ref="E30:F30"/>
    <mergeCell ref="A34:G34"/>
    <mergeCell ref="B36:E36"/>
    <mergeCell ref="B41:D41"/>
    <mergeCell ref="A79:G79"/>
    <mergeCell ref="B43:E43"/>
    <mergeCell ref="A46:G46"/>
    <mergeCell ref="A49:G49"/>
    <mergeCell ref="B50:C50"/>
    <mergeCell ref="D50:E50"/>
    <mergeCell ref="B52:C52"/>
    <mergeCell ref="B57:E57"/>
    <mergeCell ref="C58:D58"/>
    <mergeCell ref="B68:E68"/>
    <mergeCell ref="B69:E69"/>
    <mergeCell ref="B71:E71"/>
    <mergeCell ref="B99:D99"/>
    <mergeCell ref="A80:G80"/>
    <mergeCell ref="A81:G81"/>
    <mergeCell ref="A90:G90"/>
    <mergeCell ref="B91:D91"/>
    <mergeCell ref="A92:E92"/>
    <mergeCell ref="B93:D93"/>
    <mergeCell ref="B94:D94"/>
    <mergeCell ref="B95:D95"/>
    <mergeCell ref="B96:D96"/>
    <mergeCell ref="B97:C97"/>
    <mergeCell ref="B98:D98"/>
    <mergeCell ref="B116:F116"/>
    <mergeCell ref="B100:D100"/>
    <mergeCell ref="B101:D101"/>
    <mergeCell ref="B102:C102"/>
    <mergeCell ref="B103:D103"/>
    <mergeCell ref="B107:D107"/>
    <mergeCell ref="B108:D108"/>
    <mergeCell ref="B109:D109"/>
    <mergeCell ref="B110:D110"/>
    <mergeCell ref="B111:D111"/>
    <mergeCell ref="B112:D112"/>
    <mergeCell ref="B113:D113"/>
    <mergeCell ref="B161:F161"/>
    <mergeCell ref="B117:E117"/>
    <mergeCell ref="B118:E118"/>
    <mergeCell ref="A120:G120"/>
    <mergeCell ref="A121:G121"/>
    <mergeCell ref="B140:E140"/>
    <mergeCell ref="B141:E141"/>
  </mergeCells>
  <dataValidations count="3">
    <dataValidation type="list" allowBlank="1" showInputMessage="1" showErrorMessage="1" errorTitle="VALORES INCORRETOS" error="Responder &quot;Sim&quot; ou &quot;Não&quot;" sqref="F43">
      <formula1>"Sim,Não"</formula1>
    </dataValidation>
    <dataValidation type="list" allowBlank="1" showInputMessage="1" showErrorMessage="1" sqref="F11">
      <formula1>"Normal,12X36"</formula1>
    </dataValidation>
    <dataValidation type="list" allowBlank="1" showInputMessage="1" showErrorMessage="1" sqref="F117 D97 D102 F10 F69:F77 F37 C39 F132:F135">
      <formula1>"Sim,Não"</formula1>
    </dataValidation>
  </dataValidations>
  <hyperlinks>
    <hyperlink ref="I107" r:id="rId1"/>
  </hyperlinks>
  <printOptions horizontalCentered="1"/>
  <pageMargins left="1.1811023622047245" right="0.39370078740157483" top="0.39370078740157483" bottom="0.39370078740157483" header="0.11811023622047245" footer="0.11811023622047245"/>
  <pageSetup paperSize="9" scale="82" fitToHeight="4" orientation="portrait" r:id="rId2"/>
  <headerFooter alignWithMargins="0">
    <oddFooter>&amp;LPág. &amp;P</oddFooter>
  </headerFooter>
  <rowBreaks count="4" manualBreakCount="4">
    <brk id="49" max="6" man="1"/>
    <brk id="89" max="6" man="1"/>
    <brk id="104" max="6" man="1"/>
    <brk id="137" max="6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showGridLines="0" topLeftCell="A182" zoomScale="130" zoomScaleNormal="130" zoomScaleSheetLayoutView="235" workbookViewId="0">
      <selection activeCell="G24" sqref="G24"/>
    </sheetView>
  </sheetViews>
  <sheetFormatPr defaultColWidth="9.140625" defaultRowHeight="11.25" x14ac:dyDescent="0.15"/>
  <cols>
    <col min="1" max="1" width="5.85546875" style="1" customWidth="1"/>
    <col min="2" max="2" width="12.85546875" style="59" customWidth="1"/>
    <col min="3" max="4" width="8.85546875" style="51" customWidth="1"/>
    <col min="5" max="5" width="13" style="51" customWidth="1"/>
    <col min="6" max="6" width="12.140625" style="51" customWidth="1"/>
    <col min="7" max="7" width="18.28515625" style="2" customWidth="1"/>
    <col min="8" max="8" width="3.28515625" style="1" hidden="1" customWidth="1"/>
    <col min="9" max="9" width="8" style="1" hidden="1" customWidth="1"/>
    <col min="10" max="10" width="9.7109375" style="1" customWidth="1"/>
    <col min="11" max="12" width="9.140625" style="1" customWidth="1"/>
    <col min="13" max="13" width="10.28515625" style="1" customWidth="1"/>
    <col min="14" max="14" width="9.140625" style="1" customWidth="1"/>
    <col min="15" max="16384" width="9.140625" style="1"/>
  </cols>
  <sheetData>
    <row r="1" spans="1:8" ht="12.75" x14ac:dyDescent="0.2">
      <c r="H1"/>
    </row>
    <row r="2" spans="1:8" ht="18" x14ac:dyDescent="0.25">
      <c r="A2" s="570"/>
      <c r="B2" s="570"/>
      <c r="C2" s="570"/>
      <c r="D2" s="570"/>
      <c r="E2" s="570"/>
      <c r="F2" s="570"/>
      <c r="G2" s="570"/>
    </row>
    <row r="3" spans="1:8" ht="14.25" x14ac:dyDescent="0.2">
      <c r="A3" s="571"/>
      <c r="B3" s="571"/>
      <c r="C3" s="571"/>
      <c r="D3" s="571"/>
      <c r="E3" s="571"/>
      <c r="F3" s="571"/>
      <c r="G3" s="571"/>
    </row>
    <row r="4" spans="1:8" x14ac:dyDescent="0.15">
      <c r="B4" s="56"/>
      <c r="C4" s="5"/>
      <c r="D4" s="5"/>
      <c r="E4" s="5"/>
      <c r="F4" s="5"/>
      <c r="G4" s="3"/>
    </row>
    <row r="5" spans="1:8" s="4" customFormat="1" ht="15.75" x14ac:dyDescent="0.15">
      <c r="A5" s="572" t="s">
        <v>1</v>
      </c>
      <c r="B5" s="572"/>
      <c r="C5" s="572"/>
      <c r="D5" s="572"/>
      <c r="E5" s="572"/>
      <c r="F5" s="572"/>
      <c r="G5" s="572"/>
      <c r="H5" s="65"/>
    </row>
    <row r="6" spans="1:8" s="4" customFormat="1" ht="12.75" x14ac:dyDescent="0.15">
      <c r="A6" s="572" t="s">
        <v>278</v>
      </c>
      <c r="B6" s="572"/>
      <c r="C6" s="572"/>
      <c r="D6" s="572"/>
      <c r="E6" s="572"/>
      <c r="F6" s="572"/>
      <c r="G6" s="572"/>
    </row>
    <row r="7" spans="1:8" s="4" customFormat="1" ht="12.75" x14ac:dyDescent="0.15">
      <c r="A7" s="450"/>
      <c r="B7" s="450"/>
      <c r="C7" s="450"/>
      <c r="D7" s="450"/>
      <c r="E7" s="450"/>
      <c r="F7" s="450"/>
      <c r="G7" s="450"/>
    </row>
    <row r="8" spans="1:8" s="89" customFormat="1" ht="18" customHeight="1" x14ac:dyDescent="0.2">
      <c r="A8" s="228"/>
      <c r="B8" s="229"/>
      <c r="C8" s="228"/>
      <c r="D8" s="229"/>
      <c r="E8" s="124"/>
      <c r="F8" s="124"/>
      <c r="G8" s="88"/>
    </row>
    <row r="9" spans="1:8" s="89" customFormat="1" ht="18" customHeight="1" x14ac:dyDescent="0.2">
      <c r="A9" s="277" t="s">
        <v>266</v>
      </c>
      <c r="B9" s="229"/>
      <c r="C9" s="228"/>
      <c r="D9" s="229"/>
      <c r="E9" s="124"/>
      <c r="F9" s="124"/>
      <c r="G9" s="88"/>
    </row>
    <row r="10" spans="1:8" s="89" customFormat="1" ht="18" customHeight="1" x14ac:dyDescent="0.2">
      <c r="A10" s="452" t="s">
        <v>13</v>
      </c>
      <c r="B10" s="569" t="s">
        <v>200</v>
      </c>
      <c r="C10" s="569"/>
      <c r="D10" s="569"/>
      <c r="E10" s="569"/>
      <c r="F10" s="250" t="str">
        <f>PARAMETROS!C25</f>
        <v>Não</v>
      </c>
      <c r="G10" s="88"/>
    </row>
    <row r="11" spans="1:8" s="89" customFormat="1" ht="18" customHeight="1" x14ac:dyDescent="0.2">
      <c r="A11" s="452" t="s">
        <v>15</v>
      </c>
      <c r="B11" s="569" t="s">
        <v>227</v>
      </c>
      <c r="C11" s="569"/>
      <c r="D11" s="569"/>
      <c r="E11" s="569"/>
      <c r="F11" s="250" t="str">
        <f>PARAMETROS!C29</f>
        <v>Normal</v>
      </c>
      <c r="G11" s="88"/>
    </row>
    <row r="12" spans="1:8" s="89" customFormat="1" ht="18" customHeight="1" x14ac:dyDescent="0.2">
      <c r="A12" s="230"/>
      <c r="B12" s="232"/>
      <c r="C12" s="232"/>
      <c r="D12" s="232"/>
      <c r="E12" s="232"/>
      <c r="F12" s="124"/>
      <c r="G12" s="88"/>
    </row>
    <row r="13" spans="1:8" s="89" customFormat="1" ht="18" customHeight="1" x14ac:dyDescent="0.2">
      <c r="A13" s="277" t="s">
        <v>64</v>
      </c>
      <c r="B13" s="229"/>
      <c r="C13" s="228"/>
      <c r="D13" s="229"/>
      <c r="E13" s="124"/>
      <c r="F13" s="124"/>
      <c r="G13" s="88"/>
    </row>
    <row r="14" spans="1:8" s="89" customFormat="1" ht="32.450000000000003" customHeight="1" x14ac:dyDescent="0.2">
      <c r="A14" s="630" t="s">
        <v>65</v>
      </c>
      <c r="B14" s="630"/>
      <c r="C14" s="362" t="s">
        <v>66</v>
      </c>
      <c r="D14" s="452" t="s">
        <v>228</v>
      </c>
      <c r="E14" s="630" t="s">
        <v>67</v>
      </c>
      <c r="F14" s="630"/>
      <c r="G14" s="88"/>
    </row>
    <row r="15" spans="1:8" s="89" customFormat="1" ht="18" customHeight="1" x14ac:dyDescent="0.2">
      <c r="A15" s="628" t="str">
        <f>A6</f>
        <v>GESTOR DE CONTRATO</v>
      </c>
      <c r="B15" s="628"/>
      <c r="C15" s="453" t="s">
        <v>294</v>
      </c>
      <c r="D15" s="453">
        <v>1</v>
      </c>
      <c r="E15" s="629">
        <v>1</v>
      </c>
      <c r="F15" s="629"/>
      <c r="G15" s="88"/>
    </row>
    <row r="16" spans="1:8" s="89" customFormat="1" ht="18" customHeight="1" x14ac:dyDescent="0.2">
      <c r="A16" s="628"/>
      <c r="B16" s="628"/>
      <c r="C16" s="363"/>
      <c r="D16" s="363"/>
      <c r="E16" s="629"/>
      <c r="F16" s="629"/>
      <c r="G16" s="88"/>
    </row>
    <row r="17" spans="1:9" s="89" customFormat="1" ht="18" customHeight="1" x14ac:dyDescent="0.2">
      <c r="A17" s="628"/>
      <c r="B17" s="628"/>
      <c r="C17" s="363"/>
      <c r="D17" s="363"/>
      <c r="E17" s="629"/>
      <c r="F17" s="629"/>
      <c r="G17" s="88"/>
    </row>
    <row r="18" spans="1:9" s="89" customFormat="1" ht="18" customHeight="1" x14ac:dyDescent="0.2">
      <c r="A18" s="123"/>
      <c r="B18" s="86"/>
      <c r="C18" s="86"/>
      <c r="D18" s="124"/>
      <c r="E18" s="124"/>
      <c r="F18" s="124"/>
      <c r="G18" s="88"/>
    </row>
    <row r="19" spans="1:9" s="89" customFormat="1" ht="18" customHeight="1" x14ac:dyDescent="0.2">
      <c r="A19" s="276" t="s">
        <v>193</v>
      </c>
      <c r="B19" s="86"/>
      <c r="C19" s="86"/>
      <c r="D19" s="124"/>
      <c r="E19" s="124"/>
      <c r="F19" s="124"/>
      <c r="G19" s="88"/>
    </row>
    <row r="20" spans="1:9" s="89" customFormat="1" ht="18" customHeight="1" x14ac:dyDescent="0.2">
      <c r="A20" s="123" t="s">
        <v>194</v>
      </c>
      <c r="B20" s="86"/>
      <c r="C20" s="86"/>
      <c r="D20" s="124"/>
      <c r="E20" s="124"/>
      <c r="F20" s="124"/>
      <c r="G20" s="88"/>
    </row>
    <row r="21" spans="1:9" s="89" customFormat="1" ht="18" customHeight="1" x14ac:dyDescent="0.2">
      <c r="A21" s="90" t="s">
        <v>195</v>
      </c>
      <c r="B21" s="86"/>
      <c r="C21" s="86"/>
      <c r="D21" s="87"/>
      <c r="E21" s="87"/>
      <c r="F21" s="87"/>
      <c r="G21" s="88"/>
    </row>
    <row r="22" spans="1:9" s="7" customFormat="1" ht="24" customHeight="1" x14ac:dyDescent="0.2">
      <c r="A22" s="508" t="s">
        <v>216</v>
      </c>
      <c r="B22" s="509"/>
      <c r="C22" s="509"/>
      <c r="D22" s="509"/>
      <c r="E22" s="509"/>
      <c r="F22" s="510"/>
      <c r="G22" s="67" t="str">
        <f>A6</f>
        <v>GESTOR DE CONTRATO</v>
      </c>
    </row>
    <row r="23" spans="1:9" s="7" customFormat="1" ht="18" customHeight="1" x14ac:dyDescent="0.2">
      <c r="A23" s="178">
        <v>1</v>
      </c>
      <c r="B23" s="546" t="s">
        <v>71</v>
      </c>
      <c r="C23" s="546"/>
      <c r="D23" s="546"/>
      <c r="E23" s="546"/>
      <c r="F23" s="546"/>
      <c r="G23" s="189" t="str">
        <f>A15</f>
        <v>GESTOR DE CONTRATO</v>
      </c>
    </row>
    <row r="24" spans="1:9" s="7" customFormat="1" ht="25.5" customHeight="1" x14ac:dyDescent="0.2">
      <c r="A24" s="178">
        <v>2</v>
      </c>
      <c r="B24" s="563" t="s">
        <v>201</v>
      </c>
      <c r="C24" s="564"/>
      <c r="D24" s="564"/>
      <c r="E24" s="564"/>
      <c r="F24" s="565"/>
      <c r="G24" s="119"/>
    </row>
    <row r="25" spans="1:9" s="7" customFormat="1" ht="18" customHeight="1" x14ac:dyDescent="0.2">
      <c r="A25" s="178">
        <f t="shared" ref="A25:A28" si="0">A24+1</f>
        <v>3</v>
      </c>
      <c r="B25" s="546" t="s">
        <v>74</v>
      </c>
      <c r="C25" s="546"/>
      <c r="D25" s="546"/>
      <c r="E25" s="546"/>
      <c r="F25" s="546"/>
      <c r="G25" s="189" t="str">
        <f>A15</f>
        <v>GESTOR DE CONTRATO</v>
      </c>
    </row>
    <row r="26" spans="1:9" s="7" customFormat="1" ht="18" customHeight="1" x14ac:dyDescent="0.2">
      <c r="A26" s="178">
        <f t="shared" si="0"/>
        <v>4</v>
      </c>
      <c r="B26" s="546" t="s">
        <v>75</v>
      </c>
      <c r="C26" s="546"/>
      <c r="D26" s="546"/>
      <c r="E26" s="546"/>
      <c r="F26" s="546"/>
      <c r="G26" s="188">
        <v>44197</v>
      </c>
    </row>
    <row r="27" spans="1:9" s="7" customFormat="1" ht="18" customHeight="1" x14ac:dyDescent="0.2">
      <c r="A27" s="218">
        <f t="shared" si="0"/>
        <v>5</v>
      </c>
      <c r="B27" s="547" t="s">
        <v>76</v>
      </c>
      <c r="C27" s="547"/>
      <c r="D27" s="547"/>
      <c r="E27" s="547"/>
      <c r="F27" s="548"/>
      <c r="G27" s="233">
        <f>PARAMETROS!C23</f>
        <v>1212</v>
      </c>
    </row>
    <row r="28" spans="1:9" s="213" customFormat="1" ht="10.5" x14ac:dyDescent="0.2">
      <c r="A28" s="549">
        <f t="shared" si="0"/>
        <v>6</v>
      </c>
      <c r="B28" s="551" t="s">
        <v>77</v>
      </c>
      <c r="C28" s="552"/>
      <c r="D28" s="551" t="s">
        <v>223</v>
      </c>
      <c r="E28" s="552"/>
      <c r="F28" s="225" t="s">
        <v>215</v>
      </c>
      <c r="G28" s="212" t="s">
        <v>80</v>
      </c>
      <c r="I28" s="213" t="s">
        <v>81</v>
      </c>
    </row>
    <row r="29" spans="1:9" s="213" customFormat="1" ht="18.75" customHeight="1" x14ac:dyDescent="0.2">
      <c r="A29" s="550"/>
      <c r="B29" s="631">
        <f>PARAMETROS!C26</f>
        <v>0</v>
      </c>
      <c r="C29" s="632"/>
      <c r="D29" s="555">
        <f>IF(F11="12x36",0.03,0.06)</f>
        <v>0.06</v>
      </c>
      <c r="E29" s="556"/>
      <c r="F29" s="303">
        <f>PARAMETROS!C81</f>
        <v>20.92</v>
      </c>
      <c r="G29" s="443">
        <v>2</v>
      </c>
      <c r="H29" s="215" t="s">
        <v>82</v>
      </c>
      <c r="I29" s="213" t="s">
        <v>83</v>
      </c>
    </row>
    <row r="30" spans="1:9" s="7" customFormat="1" ht="18" customHeight="1" x14ac:dyDescent="0.2">
      <c r="A30" s="218">
        <f>A28+1</f>
        <v>7</v>
      </c>
      <c r="B30" s="557" t="s">
        <v>84</v>
      </c>
      <c r="C30" s="558"/>
      <c r="D30" s="219">
        <v>30</v>
      </c>
      <c r="E30" s="559" t="s">
        <v>85</v>
      </c>
      <c r="F30" s="560"/>
      <c r="G30" s="234">
        <f>ROUND(D30/6*30,0)</f>
        <v>150</v>
      </c>
    </row>
    <row r="31" spans="1:9" s="7" customFormat="1" ht="10.5" x14ac:dyDescent="0.2">
      <c r="A31" s="318"/>
      <c r="B31" s="321" t="s">
        <v>86</v>
      </c>
      <c r="C31" s="322"/>
      <c r="D31" s="323"/>
      <c r="E31" s="323"/>
      <c r="F31" s="324"/>
      <c r="G31" s="325"/>
      <c r="H31" s="209"/>
    </row>
    <row r="32" spans="1:9" s="7" customFormat="1" ht="10.5" x14ac:dyDescent="0.2">
      <c r="A32" s="326"/>
      <c r="B32" s="220" t="s">
        <v>87</v>
      </c>
      <c r="C32" s="208"/>
      <c r="D32" s="210"/>
      <c r="E32" s="210"/>
      <c r="F32" s="293"/>
      <c r="G32" s="327"/>
      <c r="H32" s="209"/>
    </row>
    <row r="33" spans="1:14" s="7" customFormat="1" ht="9" customHeight="1" x14ac:dyDescent="0.2">
      <c r="A33" s="122"/>
      <c r="B33" s="296"/>
      <c r="C33" s="447"/>
      <c r="D33" s="447"/>
      <c r="E33" s="447"/>
      <c r="F33" s="447"/>
      <c r="G33" s="117"/>
    </row>
    <row r="34" spans="1:14" s="89" customFormat="1" ht="30" customHeight="1" thickBot="1" x14ac:dyDescent="0.25">
      <c r="A34" s="614" t="s">
        <v>196</v>
      </c>
      <c r="B34" s="614"/>
      <c r="C34" s="614"/>
      <c r="D34" s="614"/>
      <c r="E34" s="615"/>
      <c r="F34" s="614"/>
      <c r="G34" s="614"/>
    </row>
    <row r="35" spans="1:14" s="7" customFormat="1" ht="18" customHeight="1" thickTop="1" thickBot="1" x14ac:dyDescent="0.25">
      <c r="A35" s="6" t="s">
        <v>10</v>
      </c>
      <c r="B35" s="62" t="s">
        <v>90</v>
      </c>
      <c r="C35" s="285"/>
      <c r="D35" s="285"/>
      <c r="E35" s="421" t="str">
        <f>"Regime: "&amp;F11</f>
        <v>Regime: Normal</v>
      </c>
      <c r="F35" s="19" t="s">
        <v>12</v>
      </c>
      <c r="G35" s="60" t="s">
        <v>47</v>
      </c>
    </row>
    <row r="36" spans="1:14" s="7" customFormat="1" ht="18" customHeight="1" thickTop="1" x14ac:dyDescent="0.2">
      <c r="A36" s="401" t="s">
        <v>13</v>
      </c>
      <c r="B36" s="616" t="s">
        <v>91</v>
      </c>
      <c r="C36" s="617"/>
      <c r="D36" s="617"/>
      <c r="E36" s="618"/>
      <c r="F36" s="402" t="s">
        <v>0</v>
      </c>
      <c r="G36" s="403">
        <f>G24</f>
        <v>0</v>
      </c>
    </row>
    <row r="37" spans="1:14" s="7" customFormat="1" ht="18" customHeight="1" x14ac:dyDescent="0.2">
      <c r="A37" s="350" t="s">
        <v>15</v>
      </c>
      <c r="B37" s="404" t="s">
        <v>92</v>
      </c>
      <c r="C37" s="405"/>
      <c r="D37" s="406" t="s">
        <v>238</v>
      </c>
      <c r="E37" s="406"/>
      <c r="F37" s="359" t="s">
        <v>8</v>
      </c>
      <c r="G37" s="353">
        <f>IF(F37="Sim",ROUND($G$36*MID(D37,17,2)/100,2),0)</f>
        <v>0</v>
      </c>
    </row>
    <row r="38" spans="1:14" s="7" customFormat="1" ht="18" customHeight="1" x14ac:dyDescent="0.2">
      <c r="A38" s="350" t="s">
        <v>17</v>
      </c>
      <c r="B38" s="404" t="s">
        <v>236</v>
      </c>
      <c r="C38" s="407"/>
      <c r="D38" s="406" t="s">
        <v>237</v>
      </c>
      <c r="E38" s="407"/>
      <c r="F38" s="408"/>
      <c r="G38" s="353">
        <f>ROUND($G$27*$F38,2)</f>
        <v>0</v>
      </c>
      <c r="N38" s="393"/>
    </row>
    <row r="39" spans="1:14" s="7" customFormat="1" ht="18" customHeight="1" x14ac:dyDescent="0.2">
      <c r="A39" s="350" t="s">
        <v>19</v>
      </c>
      <c r="B39" s="460" t="s">
        <v>257</v>
      </c>
      <c r="C39" s="418" t="s">
        <v>8</v>
      </c>
      <c r="D39" s="416" t="str">
        <f>IF(F39&gt;0,"("&amp;INT(F39)&amp;"h "&amp;ROUND((F39-INT(F39))*60,0)&amp;"min)=","")</f>
        <v/>
      </c>
      <c r="E39" s="420" t="str">
        <f>IF(F39&gt;0,"Quant. Horas 
normais (decimais) =","")</f>
        <v/>
      </c>
      <c r="F39" s="410"/>
      <c r="G39" s="411">
        <f>IF(AND(F11="12X36",C39="Sim"),ROUND(SUM(G36:G38)*(7/12)*0.2,2),ROUND((SUM(G36:G38)/G30)*0.2*F39,2))</f>
        <v>0</v>
      </c>
      <c r="M39" s="419"/>
      <c r="N39" s="393"/>
    </row>
    <row r="40" spans="1:14" s="7" customFormat="1" ht="18" customHeight="1" x14ac:dyDescent="0.2">
      <c r="A40" s="350" t="s">
        <v>21</v>
      </c>
      <c r="B40" s="414" t="s">
        <v>254</v>
      </c>
      <c r="C40" s="409"/>
      <c r="D40" s="412" t="str">
        <f>IF(F40&gt;0,"("&amp;INT(F40)&amp;"h "&amp;ROUND((F40-INT(F40))*60,0)&amp;"min)=","")</f>
        <v/>
      </c>
      <c r="E40" s="420" t="str">
        <f>IF(F40&gt;0,"Quant. Horas 
reduzidas (decimais)=","")</f>
        <v/>
      </c>
      <c r="F40" s="417">
        <f>IF(F39&gt;0,ROUND(((F39)*(8/7))-(F39),2),0)</f>
        <v>0</v>
      </c>
      <c r="G40" s="411">
        <f>ROUND((SUM(G36:G38)/G30)*0.2*F40,2)</f>
        <v>0</v>
      </c>
      <c r="M40" s="68"/>
      <c r="N40" s="394"/>
    </row>
    <row r="41" spans="1:14" s="7" customFormat="1" ht="18" customHeight="1" x14ac:dyDescent="0.2">
      <c r="A41" s="350" t="s">
        <v>23</v>
      </c>
      <c r="B41" s="619" t="s">
        <v>197</v>
      </c>
      <c r="C41" s="620"/>
      <c r="D41" s="620"/>
      <c r="E41" s="413"/>
      <c r="F41" s="351">
        <f>IF(ISNUMBER(E41),50%,0)</f>
        <v>0</v>
      </c>
      <c r="G41" s="352">
        <f>ROUND(SUM(G36:G40)/G30*1.5*E41,2)</f>
        <v>0</v>
      </c>
      <c r="M41" s="68"/>
      <c r="N41" s="394"/>
    </row>
    <row r="42" spans="1:14" s="7" customFormat="1" ht="18" customHeight="1" x14ac:dyDescent="0.2">
      <c r="A42" s="350"/>
      <c r="B42" s="625" t="s">
        <v>173</v>
      </c>
      <c r="C42" s="626"/>
      <c r="D42" s="626"/>
      <c r="E42" s="626"/>
      <c r="F42" s="351"/>
      <c r="G42" s="352">
        <f>SUM(G36:G41)</f>
        <v>0</v>
      </c>
    </row>
    <row r="43" spans="1:14" s="7" customFormat="1" ht="21.6" customHeight="1" x14ac:dyDescent="0.2">
      <c r="A43" s="360" t="s">
        <v>25</v>
      </c>
      <c r="B43" s="619" t="s">
        <v>229</v>
      </c>
      <c r="C43" s="620"/>
      <c r="D43" s="620"/>
      <c r="E43" s="620"/>
      <c r="F43" s="359" t="s">
        <v>8</v>
      </c>
      <c r="G43" s="353">
        <f>IF(F43="Sim",ROUND(SUM(G36:G38)/G30*1.5*F29,2),0)</f>
        <v>0</v>
      </c>
    </row>
    <row r="44" spans="1:14" s="7" customFormat="1" ht="21.6" customHeight="1" x14ac:dyDescent="0.2">
      <c r="A44" s="354" t="s">
        <v>27</v>
      </c>
      <c r="B44" s="355" t="s">
        <v>51</v>
      </c>
      <c r="C44" s="356"/>
      <c r="D44" s="356"/>
      <c r="E44" s="356"/>
      <c r="F44" s="357"/>
      <c r="G44" s="358"/>
    </row>
    <row r="45" spans="1:14" s="7" customFormat="1" ht="18" customHeight="1" x14ac:dyDescent="0.2">
      <c r="A45" s="13"/>
      <c r="B45" s="23" t="s">
        <v>29</v>
      </c>
      <c r="C45" s="52"/>
      <c r="D45" s="52"/>
      <c r="E45" s="52"/>
      <c r="F45" s="24"/>
      <c r="G45" s="160">
        <f>SUM(G42:G44)</f>
        <v>0</v>
      </c>
    </row>
    <row r="46" spans="1:14" x14ac:dyDescent="0.15">
      <c r="A46" s="531" t="s">
        <v>30</v>
      </c>
      <c r="B46" s="513"/>
      <c r="C46" s="513"/>
      <c r="D46" s="513"/>
      <c r="E46" s="513"/>
      <c r="F46" s="513"/>
      <c r="G46" s="532"/>
    </row>
    <row r="47" spans="1:14" s="116" customFormat="1" ht="9" x14ac:dyDescent="0.15">
      <c r="A47" s="348"/>
      <c r="B47" s="361"/>
      <c r="C47" s="348"/>
      <c r="D47" s="348"/>
      <c r="E47" s="348"/>
      <c r="F47" s="348"/>
      <c r="G47" s="348"/>
    </row>
    <row r="48" spans="1:14" s="18" customFormat="1" ht="18" customHeight="1" x14ac:dyDescent="0.15">
      <c r="A48" s="15"/>
      <c r="B48" s="57"/>
      <c r="C48" s="16"/>
      <c r="D48" s="16"/>
      <c r="E48" s="16"/>
      <c r="F48" s="16"/>
      <c r="G48" s="17"/>
    </row>
    <row r="49" spans="1:16" s="89" customFormat="1" ht="25.5" customHeight="1" x14ac:dyDescent="0.2">
      <c r="A49" s="614" t="s">
        <v>207</v>
      </c>
      <c r="B49" s="614"/>
      <c r="C49" s="614"/>
      <c r="D49" s="614"/>
      <c r="E49" s="614"/>
      <c r="F49" s="614"/>
      <c r="G49" s="614"/>
    </row>
    <row r="50" spans="1:16" s="18" customFormat="1" ht="25.5" customHeight="1" x14ac:dyDescent="0.15">
      <c r="A50" s="29" t="s">
        <v>98</v>
      </c>
      <c r="B50" s="517" t="s">
        <v>99</v>
      </c>
      <c r="C50" s="517"/>
      <c r="D50" s="623" t="str">
        <f>"Conta Vinculada? "&amp;PARAMETROS!$C$27</f>
        <v>Conta Vinculada? Sim</v>
      </c>
      <c r="E50" s="624"/>
      <c r="F50" s="19" t="s">
        <v>12</v>
      </c>
      <c r="G50" s="60" t="s">
        <v>47</v>
      </c>
    </row>
    <row r="51" spans="1:16" s="18" customFormat="1" ht="18" customHeight="1" x14ac:dyDescent="0.15">
      <c r="A51" s="8" t="s">
        <v>13</v>
      </c>
      <c r="B51" s="448" t="s">
        <v>222</v>
      </c>
      <c r="C51" s="339" t="s">
        <v>255</v>
      </c>
      <c r="D51" s="449"/>
      <c r="E51" s="449"/>
      <c r="F51" s="53">
        <f>1/12</f>
        <v>8.3333333333333329E-2</v>
      </c>
      <c r="G51" s="32">
        <f>ROUND($G$42*F51,2)</f>
        <v>0</v>
      </c>
      <c r="K51" s="64"/>
      <c r="N51" s="64"/>
      <c r="O51" s="64"/>
      <c r="P51" s="64"/>
    </row>
    <row r="52" spans="1:16" s="18" customFormat="1" ht="18" customHeight="1" x14ac:dyDescent="0.15">
      <c r="A52" s="299" t="s">
        <v>15</v>
      </c>
      <c r="B52" s="621" t="s">
        <v>206</v>
      </c>
      <c r="C52" s="622"/>
      <c r="D52" s="347" t="s">
        <v>199</v>
      </c>
      <c r="E52" s="346" t="str">
        <f>$F$10</f>
        <v>Não</v>
      </c>
      <c r="F52" s="367" t="str">
        <f>"Σ="&amp;FIXED(SUM(F53:F54)*100,2)&amp;"%"</f>
        <v>Σ=12,10%</v>
      </c>
      <c r="G52" s="368" t="str">
        <f>"Σ="&amp;FIXED(SUM(G53:G54),2)</f>
        <v>Σ=0,00</v>
      </c>
      <c r="O52" s="255"/>
    </row>
    <row r="53" spans="1:16" s="18" customFormat="1" ht="11.45" customHeight="1" x14ac:dyDescent="0.15">
      <c r="A53" s="10" t="s">
        <v>191</v>
      </c>
      <c r="B53" s="451" t="s">
        <v>204</v>
      </c>
      <c r="C53" s="302" t="str">
        <f>IF(RIGHT(D50,3)="Sim","(1÷11) =","(1÷12) =")</f>
        <v>(1÷11) =</v>
      </c>
      <c r="D53" s="297">
        <f>IF(E52="Sim","Prorrogado. Férias submódulo 4.1.A",IF(RIGHT(D50,3)="Sim",1/11,1/12))</f>
        <v>9.0909090909090912E-2</v>
      </c>
      <c r="E53" s="298"/>
      <c r="F53" s="312">
        <f>IF(E52="Sim",0,IF(RIGHT(D50,3)="Sim",0.09075,D53))</f>
        <v>9.0749999999999997E-2</v>
      </c>
      <c r="G53" s="33">
        <f>ROUND($G$42*F53,2)</f>
        <v>0</v>
      </c>
      <c r="N53" s="349"/>
      <c r="O53" s="255"/>
    </row>
    <row r="54" spans="1:16" s="18" customFormat="1" ht="11.45" customHeight="1" x14ac:dyDescent="0.15">
      <c r="A54" s="177" t="s">
        <v>192</v>
      </c>
      <c r="B54" s="300" t="s">
        <v>205</v>
      </c>
      <c r="C54" s="45"/>
      <c r="D54" s="302" t="str">
        <f>IF(RIGHT(D50,3)="Sim","(1÷3÷11) =","(1÷3÷12) =")</f>
        <v>(1÷3÷11) =</v>
      </c>
      <c r="E54" s="301">
        <f>IF(RIGHT(D50,3)="Sim",1/3/11,1/3/12)</f>
        <v>3.03030303030303E-2</v>
      </c>
      <c r="F54" s="313">
        <f>IF(RIGHT(D50,3)="Sim",0.03025,E54)</f>
        <v>3.0249999999999999E-2</v>
      </c>
      <c r="G54" s="33">
        <f>ROUND($G$42*F54,2)</f>
        <v>0</v>
      </c>
      <c r="K54" s="64"/>
      <c r="O54" s="255"/>
    </row>
    <row r="55" spans="1:16" s="237" customFormat="1" ht="18" customHeight="1" x14ac:dyDescent="0.15">
      <c r="A55" s="238"/>
      <c r="B55" s="239" t="s">
        <v>101</v>
      </c>
      <c r="C55" s="239"/>
      <c r="D55" s="239"/>
      <c r="E55" s="239"/>
      <c r="F55" s="240">
        <f>SUM(F51:F54)</f>
        <v>0.20433333333333331</v>
      </c>
      <c r="G55" s="241">
        <f>SUM(G51:G54)</f>
        <v>0</v>
      </c>
    </row>
    <row r="56" spans="1:16" s="18" customFormat="1" ht="16.149999999999999" customHeight="1" x14ac:dyDescent="0.15">
      <c r="A56" s="444"/>
      <c r="B56" s="444"/>
      <c r="C56" s="444"/>
      <c r="D56" s="444"/>
      <c r="E56" s="444"/>
      <c r="F56" s="444"/>
      <c r="G56" s="444"/>
    </row>
    <row r="57" spans="1:16" s="18" customFormat="1" ht="40.5" customHeight="1" x14ac:dyDescent="0.15">
      <c r="A57" s="28" t="s">
        <v>102</v>
      </c>
      <c r="B57" s="536" t="s">
        <v>256</v>
      </c>
      <c r="C57" s="536"/>
      <c r="D57" s="536"/>
      <c r="E57" s="536"/>
      <c r="F57" s="303" t="str">
        <f>"Optante do Simples? "&amp;PARAMETROS!C28</f>
        <v>Optante do Simples? Não</v>
      </c>
      <c r="G57" s="60" t="s">
        <v>47</v>
      </c>
      <c r="N57" s="349"/>
    </row>
    <row r="58" spans="1:16" s="18" customFormat="1" ht="18" customHeight="1" x14ac:dyDescent="0.15">
      <c r="A58" s="8" t="s">
        <v>13</v>
      </c>
      <c r="B58" s="448" t="s">
        <v>14</v>
      </c>
      <c r="C58" s="627" t="s">
        <v>200</v>
      </c>
      <c r="D58" s="627"/>
      <c r="E58" s="422" t="str">
        <f>$F$10</f>
        <v>Não</v>
      </c>
      <c r="F58" s="335">
        <f>PARAMETROS!C33</f>
        <v>0.2</v>
      </c>
      <c r="G58" s="33">
        <f t="shared" ref="G58:G65" si="1">IF($E$58="Não",ROUND(($G$42+$G$51)*SUM(F58),2),ROUND(($G$42+$G$51+$G$54)*SUM(F58),2))</f>
        <v>0</v>
      </c>
      <c r="M58" s="64"/>
      <c r="O58" s="64"/>
    </row>
    <row r="59" spans="1:16" s="18" customFormat="1" ht="18" customHeight="1" x14ac:dyDescent="0.15">
      <c r="A59" s="10" t="s">
        <v>15</v>
      </c>
      <c r="B59" s="446" t="s">
        <v>16</v>
      </c>
      <c r="C59" s="447"/>
      <c r="D59" s="320" t="s">
        <v>208</v>
      </c>
      <c r="E59" s="340" t="s">
        <v>221</v>
      </c>
      <c r="F59" s="336">
        <f>IF(RIGHT($F$57,3)="Sim","",PARAMETROS!C34)</f>
        <v>2.5000000000000001E-2</v>
      </c>
      <c r="G59" s="33">
        <f t="shared" si="1"/>
        <v>0</v>
      </c>
    </row>
    <row r="60" spans="1:16" s="18" customFormat="1" ht="18" customHeight="1" x14ac:dyDescent="0.15">
      <c r="A60" s="10" t="s">
        <v>17</v>
      </c>
      <c r="B60" s="446" t="s">
        <v>220</v>
      </c>
      <c r="C60" s="447"/>
      <c r="D60" s="341">
        <v>0.03</v>
      </c>
      <c r="E60" s="342">
        <v>0.01</v>
      </c>
      <c r="F60" s="336">
        <f>D60*E60*100</f>
        <v>0.03</v>
      </c>
      <c r="G60" s="33">
        <f t="shared" si="1"/>
        <v>0</v>
      </c>
    </row>
    <row r="61" spans="1:16" s="18" customFormat="1" ht="18" customHeight="1" x14ac:dyDescent="0.15">
      <c r="A61" s="10" t="s">
        <v>19</v>
      </c>
      <c r="B61" s="446" t="s">
        <v>20</v>
      </c>
      <c r="C61" s="447"/>
      <c r="D61" s="447"/>
      <c r="E61" s="447"/>
      <c r="F61" s="336">
        <f>IF(RIGHT($F$57,3)="Sim","",PARAMETROS!C36)</f>
        <v>1.4999999999999999E-2</v>
      </c>
      <c r="G61" s="33">
        <f t="shared" si="1"/>
        <v>0</v>
      </c>
    </row>
    <row r="62" spans="1:16" s="18" customFormat="1" ht="18" customHeight="1" x14ac:dyDescent="0.15">
      <c r="A62" s="10" t="s">
        <v>21</v>
      </c>
      <c r="B62" s="446" t="s">
        <v>22</v>
      </c>
      <c r="E62" s="447"/>
      <c r="F62" s="336">
        <f>IF(RIGHT($F$57,3)="Sim","",PARAMETROS!C37)</f>
        <v>0.01</v>
      </c>
      <c r="G62" s="33">
        <f t="shared" si="1"/>
        <v>0</v>
      </c>
    </row>
    <row r="63" spans="1:16" s="18" customFormat="1" ht="18" customHeight="1" x14ac:dyDescent="0.15">
      <c r="A63" s="10" t="s">
        <v>23</v>
      </c>
      <c r="B63" s="446" t="s">
        <v>24</v>
      </c>
      <c r="C63" s="447"/>
      <c r="D63" s="447"/>
      <c r="E63" s="447"/>
      <c r="F63" s="336">
        <f>IF(RIGHT($F$57,3)="Sim","",PARAMETROS!C38)</f>
        <v>6.0000000000000001E-3</v>
      </c>
      <c r="G63" s="33">
        <f t="shared" si="1"/>
        <v>0</v>
      </c>
    </row>
    <row r="64" spans="1:16" s="18" customFormat="1" ht="18" customHeight="1" x14ac:dyDescent="0.15">
      <c r="A64" s="10" t="s">
        <v>25</v>
      </c>
      <c r="B64" s="446" t="s">
        <v>26</v>
      </c>
      <c r="C64" s="447"/>
      <c r="D64" s="447"/>
      <c r="E64" s="447"/>
      <c r="F64" s="336">
        <f>IF(RIGHT($F$57,3)="Sim","",PARAMETROS!C39)</f>
        <v>2E-3</v>
      </c>
      <c r="G64" s="33">
        <f t="shared" si="1"/>
        <v>0</v>
      </c>
    </row>
    <row r="65" spans="1:15" s="18" customFormat="1" ht="18" customHeight="1" x14ac:dyDescent="0.15">
      <c r="A65" s="177" t="s">
        <v>27</v>
      </c>
      <c r="B65" s="273" t="s">
        <v>28</v>
      </c>
      <c r="C65" s="274"/>
      <c r="D65" s="274"/>
      <c r="E65" s="274"/>
      <c r="F65" s="337">
        <f>PARAMETROS!C40</f>
        <v>0.08</v>
      </c>
      <c r="G65" s="33">
        <f t="shared" si="1"/>
        <v>0</v>
      </c>
    </row>
    <row r="66" spans="1:15" s="18" customFormat="1" ht="18" customHeight="1" x14ac:dyDescent="0.15">
      <c r="A66" s="318"/>
      <c r="B66" s="320" t="s">
        <v>101</v>
      </c>
      <c r="C66" s="319"/>
      <c r="D66" s="319"/>
      <c r="E66" s="319"/>
      <c r="F66" s="338">
        <f>SUM(F58:F65)</f>
        <v>0.36800000000000005</v>
      </c>
      <c r="G66" s="9">
        <f>SUM(G58:G65)</f>
        <v>0</v>
      </c>
    </row>
    <row r="67" spans="1:15" s="18" customFormat="1" ht="15" customHeight="1" x14ac:dyDescent="0.15">
      <c r="E67" s="364"/>
    </row>
    <row r="68" spans="1:15" s="18" customFormat="1" ht="25.5" customHeight="1" x14ac:dyDescent="0.15">
      <c r="A68" s="29" t="s">
        <v>32</v>
      </c>
      <c r="B68" s="509" t="s">
        <v>104</v>
      </c>
      <c r="C68" s="509"/>
      <c r="D68" s="509"/>
      <c r="E68" s="509"/>
      <c r="F68" s="303" t="s">
        <v>232</v>
      </c>
      <c r="G68" s="60" t="s">
        <v>47</v>
      </c>
      <c r="N68" s="364"/>
    </row>
    <row r="69" spans="1:15" s="7" customFormat="1" ht="30" customHeight="1" x14ac:dyDescent="0.2">
      <c r="A69" s="401" t="s">
        <v>13</v>
      </c>
      <c r="B69" s="604" t="s">
        <v>230</v>
      </c>
      <c r="C69" s="605"/>
      <c r="D69" s="605"/>
      <c r="E69" s="605"/>
      <c r="F69" s="454" t="s">
        <v>139</v>
      </c>
      <c r="G69" s="455">
        <f>ROUND(IF((G24*D29)&gt;(B29*F29*G29),B29*F29*G29,(B29*F29*G29)-(G24*D29)),2)</f>
        <v>0</v>
      </c>
      <c r="H69" s="68" t="s">
        <v>106</v>
      </c>
      <c r="I69" s="68"/>
      <c r="N69" s="365"/>
    </row>
    <row r="70" spans="1:15" s="7" customFormat="1" ht="18" customHeight="1" x14ac:dyDescent="0.2">
      <c r="A70" s="350" t="s">
        <v>15</v>
      </c>
      <c r="B70" s="456" t="str">
        <f>PARAMETROS!B47</f>
        <v>Auxílio alimentação (Vales, cesta básica etc.) - 11ª</v>
      </c>
      <c r="C70" s="457"/>
      <c r="D70" s="457"/>
      <c r="E70" s="457"/>
      <c r="F70" s="458" t="s">
        <v>139</v>
      </c>
      <c r="G70" s="459">
        <f>PARAMETROS!C47</f>
        <v>0</v>
      </c>
      <c r="H70" s="68" t="s">
        <v>107</v>
      </c>
      <c r="I70" s="68">
        <f>B29*G29*22</f>
        <v>0</v>
      </c>
      <c r="K70" s="68"/>
      <c r="L70" s="68"/>
      <c r="O70" s="68"/>
    </row>
    <row r="71" spans="1:15" s="7" customFormat="1" ht="18" customHeight="1" x14ac:dyDescent="0.2">
      <c r="A71" s="350" t="s">
        <v>17</v>
      </c>
      <c r="B71" s="606" t="str">
        <f>PARAMETROS!B48</f>
        <v>Auxílio Morte/Funeral (1 sal.x3%÷12x3 = 0,0075) - 13ª</v>
      </c>
      <c r="C71" s="607"/>
      <c r="D71" s="607"/>
      <c r="E71" s="608"/>
      <c r="F71" s="458"/>
      <c r="G71" s="461">
        <f>ROUND(PARAMETROS!C48*G24,2)</f>
        <v>0</v>
      </c>
      <c r="H71" s="68" t="s">
        <v>108</v>
      </c>
      <c r="I71" s="68">
        <f>G24*0.06</f>
        <v>0</v>
      </c>
      <c r="J71" s="68"/>
    </row>
    <row r="72" spans="1:15" s="7" customFormat="1" ht="18" customHeight="1" x14ac:dyDescent="0.2">
      <c r="A72" s="350" t="s">
        <v>19</v>
      </c>
      <c r="B72" s="456" t="str">
        <f>PARAMETROS!B49</f>
        <v>Treinamento (Prog. Qual. Trabalhador) - 21ª</v>
      </c>
      <c r="C72" s="457"/>
      <c r="D72" s="457"/>
      <c r="E72" s="457"/>
      <c r="F72" s="458"/>
      <c r="G72" s="459">
        <f>PARAMETROS!C49</f>
        <v>0</v>
      </c>
    </row>
    <row r="73" spans="1:15" s="7" customFormat="1" ht="18" customHeight="1" x14ac:dyDescent="0.2">
      <c r="A73" s="350" t="s">
        <v>21</v>
      </c>
      <c r="B73" s="456" t="str">
        <f>PARAMETROS!B50</f>
        <v>EPI's (R$ 7,00) - 22ª</v>
      </c>
      <c r="C73" s="457"/>
      <c r="D73" s="457"/>
      <c r="E73" s="457"/>
      <c r="F73" s="458"/>
      <c r="G73" s="459">
        <f>PARAMETROS!C50</f>
        <v>0</v>
      </c>
    </row>
    <row r="74" spans="1:15" s="7" customFormat="1" ht="18" customHeight="1" x14ac:dyDescent="0.2">
      <c r="A74" s="350" t="s">
        <v>23</v>
      </c>
      <c r="B74" s="456" t="str">
        <f>PARAMETROS!B51</f>
        <v>Seguro de vida e acidente trabalho - 24ª</v>
      </c>
      <c r="C74" s="457"/>
      <c r="D74" s="457"/>
      <c r="E74" s="457"/>
      <c r="F74" s="458"/>
      <c r="G74" s="459">
        <f>PARAMETROS!C51</f>
        <v>0</v>
      </c>
    </row>
    <row r="75" spans="1:15" s="7" customFormat="1" ht="18" customHeight="1" x14ac:dyDescent="0.2">
      <c r="A75" s="350" t="s">
        <v>25</v>
      </c>
      <c r="B75" s="456" t="str">
        <f>PARAMETROS!B52</f>
        <v>PCMSO, PPRA e CIPA - 33ª</v>
      </c>
      <c r="C75" s="457"/>
      <c r="D75" s="457"/>
      <c r="E75" s="457"/>
      <c r="F75" s="458"/>
      <c r="G75" s="459">
        <f>PARAMETROS!C52</f>
        <v>0</v>
      </c>
    </row>
    <row r="76" spans="1:15" s="7" customFormat="1" ht="18" customHeight="1" x14ac:dyDescent="0.2">
      <c r="A76" s="350" t="s">
        <v>27</v>
      </c>
      <c r="B76" s="456" t="str">
        <f>PARAMETROS!B53</f>
        <v>Estojo primeiros socorros (R$ 4,00 por empregado) - 36ª</v>
      </c>
      <c r="C76" s="457"/>
      <c r="D76" s="457"/>
      <c r="E76" s="457"/>
      <c r="F76" s="458" t="s">
        <v>139</v>
      </c>
      <c r="G76" s="459">
        <f>PARAMETROS!C53</f>
        <v>0</v>
      </c>
    </row>
    <row r="77" spans="1:15" s="7" customFormat="1" ht="18" customHeight="1" x14ac:dyDescent="0.2">
      <c r="A77" s="354" t="s">
        <v>10</v>
      </c>
      <c r="B77" s="462" t="str">
        <f>PARAMETROS!B54</f>
        <v/>
      </c>
      <c r="C77" s="463"/>
      <c r="D77" s="463"/>
      <c r="E77" s="463"/>
      <c r="F77" s="464"/>
      <c r="G77" s="465">
        <f>PARAMETROS!C54</f>
        <v>0</v>
      </c>
    </row>
    <row r="78" spans="1:15" s="7" customFormat="1" ht="18" customHeight="1" x14ac:dyDescent="0.2">
      <c r="A78" s="150"/>
      <c r="B78" s="151" t="s">
        <v>29</v>
      </c>
      <c r="C78" s="152"/>
      <c r="D78" s="152"/>
      <c r="E78" s="152"/>
      <c r="F78" s="241">
        <f>SUMIF(F69:F77,"Sim",G69:G77)</f>
        <v>0</v>
      </c>
      <c r="G78" s="9">
        <f>SUM(G69:G77)</f>
        <v>0</v>
      </c>
    </row>
    <row r="79" spans="1:15" s="18" customFormat="1" ht="10.5" x14ac:dyDescent="0.15">
      <c r="A79" s="503" t="s">
        <v>43</v>
      </c>
      <c r="B79" s="487"/>
      <c r="C79" s="487"/>
      <c r="D79" s="487"/>
      <c r="E79" s="487"/>
      <c r="F79" s="487"/>
      <c r="G79" s="504"/>
    </row>
    <row r="80" spans="1:15" s="18" customFormat="1" ht="17.45" customHeight="1" x14ac:dyDescent="0.15">
      <c r="A80" s="599" t="s">
        <v>44</v>
      </c>
      <c r="B80" s="488"/>
      <c r="C80" s="488"/>
      <c r="D80" s="488"/>
      <c r="E80" s="488"/>
      <c r="F80" s="488"/>
      <c r="G80" s="600"/>
    </row>
    <row r="81" spans="1:14" s="18" customFormat="1" ht="10.15" customHeight="1" x14ac:dyDescent="0.15">
      <c r="A81" s="609" t="s">
        <v>231</v>
      </c>
      <c r="B81" s="610"/>
      <c r="C81" s="610"/>
      <c r="D81" s="610"/>
      <c r="E81" s="610"/>
      <c r="F81" s="610"/>
      <c r="G81" s="611"/>
    </row>
    <row r="82" spans="1:14" s="18" customFormat="1" ht="24" customHeight="1" x14ac:dyDescent="0.15">
      <c r="A82" s="70"/>
      <c r="B82" s="70"/>
      <c r="C82" s="70"/>
      <c r="D82" s="70"/>
      <c r="E82" s="70"/>
      <c r="F82" s="70"/>
      <c r="G82" s="70"/>
    </row>
    <row r="83" spans="1:14" s="133" customFormat="1" ht="24" customHeight="1" x14ac:dyDescent="0.15">
      <c r="A83" s="195" t="s">
        <v>109</v>
      </c>
      <c r="B83" s="196"/>
      <c r="C83" s="197"/>
      <c r="D83" s="197"/>
      <c r="E83" s="197"/>
      <c r="F83" s="197"/>
      <c r="G83" s="198"/>
    </row>
    <row r="84" spans="1:14" s="134" customFormat="1" ht="24" customHeight="1" x14ac:dyDescent="0.15">
      <c r="A84" s="199">
        <v>2</v>
      </c>
      <c r="B84" s="200" t="s">
        <v>110</v>
      </c>
      <c r="C84" s="201"/>
      <c r="D84" s="201"/>
      <c r="E84" s="201"/>
      <c r="F84" s="201"/>
      <c r="G84" s="202"/>
    </row>
    <row r="85" spans="1:14" s="133" customFormat="1" ht="24" customHeight="1" x14ac:dyDescent="0.15">
      <c r="A85" s="178" t="s">
        <v>98</v>
      </c>
      <c r="B85" s="196" t="s">
        <v>111</v>
      </c>
      <c r="C85" s="197"/>
      <c r="D85" s="197"/>
      <c r="E85" s="197"/>
      <c r="F85" s="434"/>
      <c r="G85" s="203">
        <f>G55</f>
        <v>0</v>
      </c>
    </row>
    <row r="86" spans="1:14" s="133" customFormat="1" ht="24" customHeight="1" x14ac:dyDescent="0.15">
      <c r="A86" s="178" t="s">
        <v>102</v>
      </c>
      <c r="B86" s="196" t="s">
        <v>112</v>
      </c>
      <c r="C86" s="197"/>
      <c r="D86" s="197"/>
      <c r="E86" s="197"/>
      <c r="F86" s="434"/>
      <c r="G86" s="203">
        <f>G66</f>
        <v>0</v>
      </c>
    </row>
    <row r="87" spans="1:14" s="133" customFormat="1" ht="24" customHeight="1" x14ac:dyDescent="0.15">
      <c r="A87" s="178" t="s">
        <v>32</v>
      </c>
      <c r="B87" s="196" t="s">
        <v>113</v>
      </c>
      <c r="C87" s="197"/>
      <c r="D87" s="197"/>
      <c r="E87" s="197"/>
      <c r="F87" s="434"/>
      <c r="G87" s="203">
        <f>G78</f>
        <v>0</v>
      </c>
    </row>
    <row r="88" spans="1:14" s="133" customFormat="1" ht="18" customHeight="1" x14ac:dyDescent="0.15">
      <c r="A88" s="204"/>
      <c r="B88" s="205" t="s">
        <v>114</v>
      </c>
      <c r="C88" s="205"/>
      <c r="D88" s="206" t="s">
        <v>101</v>
      </c>
      <c r="E88" s="205"/>
      <c r="F88" s="435"/>
      <c r="G88" s="31">
        <f>SUM(G85:G87)</f>
        <v>0</v>
      </c>
    </row>
    <row r="89" spans="1:14" s="18" customFormat="1" ht="12.75" customHeight="1" x14ac:dyDescent="0.15">
      <c r="A89" s="25"/>
      <c r="B89" s="58"/>
      <c r="C89" s="26"/>
      <c r="D89" s="26"/>
      <c r="E89" s="26"/>
      <c r="F89" s="26"/>
      <c r="G89" s="27"/>
      <c r="N89" s="317"/>
    </row>
    <row r="90" spans="1:14" s="89" customFormat="1" ht="40.15" customHeight="1" x14ac:dyDescent="0.2">
      <c r="A90" s="612" t="s">
        <v>233</v>
      </c>
      <c r="B90" s="612"/>
      <c r="C90" s="612"/>
      <c r="D90" s="612"/>
      <c r="E90" s="612"/>
      <c r="F90" s="612"/>
      <c r="G90" s="612"/>
    </row>
    <row r="91" spans="1:14" s="18" customFormat="1" ht="28.9" customHeight="1" x14ac:dyDescent="0.15">
      <c r="A91" s="28">
        <v>3</v>
      </c>
      <c r="B91" s="517" t="str">
        <f>IF(F10="Sim","Submódulo - Provisão para Rescisão - PRORROGADO", "Submódulo - Provisão para Rescisão")</f>
        <v>Submódulo - Provisão para Rescisão</v>
      </c>
      <c r="C91" s="517"/>
      <c r="D91" s="517"/>
      <c r="E91" s="67" t="s">
        <v>117</v>
      </c>
      <c r="F91" s="155" t="s">
        <v>118</v>
      </c>
      <c r="G91" s="392" t="str">
        <f>PARAMETROS!B27&amp;" "&amp;PARAMETROS!C27</f>
        <v>Conta Vinculada? Sim</v>
      </c>
      <c r="K91" s="364"/>
    </row>
    <row r="92" spans="1:14" s="18" customFormat="1" ht="18" customHeight="1" x14ac:dyDescent="0.15">
      <c r="A92" s="601" t="s">
        <v>234</v>
      </c>
      <c r="B92" s="602"/>
      <c r="C92" s="602"/>
      <c r="D92" s="602"/>
      <c r="E92" s="603"/>
      <c r="F92" s="72">
        <v>0</v>
      </c>
      <c r="G92" s="391" t="s">
        <v>47</v>
      </c>
    </row>
    <row r="93" spans="1:14" s="18" customFormat="1" ht="31.9" customHeight="1" x14ac:dyDescent="0.15">
      <c r="A93" s="8" t="s">
        <v>13</v>
      </c>
      <c r="B93" s="518" t="str">
        <f>"Aviso prévio indenizado (probabilidade utilizada = "&amp;(F93*100)&amp;"%)."</f>
        <v>Aviso prévio indenizado (probabilidade utilizada = 5,55%).</v>
      </c>
      <c r="C93" s="519"/>
      <c r="D93" s="613"/>
      <c r="E93" s="343">
        <f>(((1+(1/12)+(1/12)+(1/12/3))*F93)+(((1/30)*3*1)*F92     ))/12</f>
        <v>5.524305555555554E-3</v>
      </c>
      <c r="F93" s="72">
        <v>5.5500000000000001E-2</v>
      </c>
      <c r="G93" s="32">
        <f>ROUND(((SUM(($G$42+($G$42/12)+($G$42/12)+($G$42/12/3)))*F93)+(($G$42/30*3*1)*F92))/12,2)</f>
        <v>0</v>
      </c>
      <c r="H93" s="66"/>
      <c r="I93" s="64"/>
      <c r="K93" s="256"/>
      <c r="M93" s="64"/>
      <c r="N93" s="64">
        <f>M93/12</f>
        <v>0</v>
      </c>
    </row>
    <row r="94" spans="1:14" s="18" customFormat="1" ht="37.9" customHeight="1" x14ac:dyDescent="0.15">
      <c r="A94" s="10" t="s">
        <v>15</v>
      </c>
      <c r="B94" s="496" t="s">
        <v>119</v>
      </c>
      <c r="C94" s="497"/>
      <c r="D94" s="585"/>
      <c r="E94" s="344">
        <f>(((1+(1/12))*F93)+(((1/30)*3*1)*F92    ))/12*F94</f>
        <v>4.0083333333333334E-4</v>
      </c>
      <c r="F94" s="53">
        <f>IF(F93&gt;0,F65,0)</f>
        <v>0.08</v>
      </c>
      <c r="G94" s="33">
        <f>ROUND(((SUM(G42+G51)*F93)+((G42/30)*3*1)*F92)/12*0.08,2)</f>
        <v>0</v>
      </c>
      <c r="H94" s="64"/>
      <c r="K94" s="256"/>
      <c r="L94" s="66"/>
      <c r="M94" s="437"/>
    </row>
    <row r="95" spans="1:14" s="18" customFormat="1" ht="18.75" customHeight="1" x14ac:dyDescent="0.15">
      <c r="A95" s="10" t="s">
        <v>17</v>
      </c>
      <c r="B95" s="496" t="s">
        <v>120</v>
      </c>
      <c r="C95" s="497"/>
      <c r="D95" s="585"/>
      <c r="E95" s="252"/>
      <c r="F95" s="53"/>
      <c r="G95" s="75" t="s">
        <v>0</v>
      </c>
      <c r="H95" s="66"/>
      <c r="L95" s="64"/>
      <c r="M95" s="66"/>
    </row>
    <row r="96" spans="1:14" s="18" customFormat="1" ht="10.5" x14ac:dyDescent="0.15">
      <c r="A96" s="74" t="s">
        <v>121</v>
      </c>
      <c r="B96" s="589" t="s">
        <v>122</v>
      </c>
      <c r="C96" s="590"/>
      <c r="D96" s="591"/>
      <c r="E96" s="254">
        <f>IF(RIGHT(G91,3)="Não",E94*F96,0.02)</f>
        <v>0.02</v>
      </c>
      <c r="F96" s="385">
        <f>IF(F93&gt;0,0.4,0)</f>
        <v>0.4</v>
      </c>
      <c r="G96" s="33">
        <f>IF(RIGHT(G91,3)="Não",ROUND(G94*F96,2),ROUND(G42*E96*F96,2))</f>
        <v>0</v>
      </c>
      <c r="H96" s="66"/>
      <c r="I96" s="64">
        <f>G98*10</f>
        <v>0</v>
      </c>
      <c r="K96" s="256"/>
      <c r="M96" s="64"/>
    </row>
    <row r="97" spans="1:15" s="18" customFormat="1" ht="21.6" hidden="1" customHeight="1" x14ac:dyDescent="0.15">
      <c r="A97" s="369" t="s">
        <v>123</v>
      </c>
      <c r="B97" s="592" t="s">
        <v>198</v>
      </c>
      <c r="C97" s="593"/>
      <c r="D97" s="370" t="s">
        <v>8</v>
      </c>
      <c r="E97" s="371">
        <f>E94*F97</f>
        <v>0</v>
      </c>
      <c r="F97" s="386">
        <f>IF(D97="Sim",10%,0)</f>
        <v>0</v>
      </c>
      <c r="G97" s="372">
        <f>ROUND($G$42*E97,2)</f>
        <v>0</v>
      </c>
      <c r="H97" s="64"/>
      <c r="K97" s="256"/>
      <c r="L97" s="255"/>
    </row>
    <row r="98" spans="1:15" s="18" customFormat="1" ht="29.25" customHeight="1" x14ac:dyDescent="0.15">
      <c r="A98" s="10" t="s">
        <v>19</v>
      </c>
      <c r="B98" s="522" t="str">
        <f>"Aviso prévio trabalhado (ocorrência = "&amp;(F98*100)&amp;"%) - "&amp;I98&amp;"(*)"</f>
        <v>Aviso prévio trabalhado (ocorrência = 100%) - 1º ANO DE CONTRATO(*)</v>
      </c>
      <c r="C98" s="523"/>
      <c r="D98" s="594"/>
      <c r="E98" s="388">
        <f>IF(F10="Não",1/30*7/12,1/30*3/12)</f>
        <v>1.9444444444444445E-2</v>
      </c>
      <c r="F98" s="387">
        <v>1</v>
      </c>
      <c r="G98" s="33">
        <f>ROUND(     (G$42+G78-F78)    *E98*F98,2)</f>
        <v>0</v>
      </c>
      <c r="H98" s="64"/>
      <c r="I98" s="18" t="str">
        <f>IF(PARAMETROS!C25="Sim", "APÓS PRORROGAÇÃO", "1º ANO DE CONTRATO")</f>
        <v>1º ANO DE CONTRATO</v>
      </c>
      <c r="K98" s="256"/>
      <c r="L98" s="64"/>
      <c r="M98" s="255"/>
    </row>
    <row r="99" spans="1:15" s="18" customFormat="1" ht="33.6" customHeight="1" x14ac:dyDescent="0.15">
      <c r="A99" s="10" t="s">
        <v>21</v>
      </c>
      <c r="B99" s="496" t="s">
        <v>217</v>
      </c>
      <c r="C99" s="497"/>
      <c r="D99" s="585"/>
      <c r="E99" s="253">
        <f>E98*F66</f>
        <v>7.1555555555555565E-3</v>
      </c>
      <c r="F99" s="53"/>
      <c r="G99" s="33">
        <f>ROUND(G$42 *E99*F98,2)</f>
        <v>0</v>
      </c>
      <c r="H99" s="66"/>
      <c r="I99" s="64"/>
      <c r="K99" s="256"/>
      <c r="L99" s="317"/>
      <c r="M99" s="115"/>
    </row>
    <row r="100" spans="1:15" s="18" customFormat="1" ht="20.45" customHeight="1" x14ac:dyDescent="0.15">
      <c r="A100" s="10" t="s">
        <v>23</v>
      </c>
      <c r="B100" s="522" t="s">
        <v>235</v>
      </c>
      <c r="C100" s="523"/>
      <c r="D100" s="594"/>
      <c r="E100" s="251"/>
      <c r="F100" s="53"/>
      <c r="G100" s="75" t="s">
        <v>0</v>
      </c>
      <c r="I100" s="115"/>
      <c r="M100" s="64"/>
    </row>
    <row r="101" spans="1:15" s="18" customFormat="1" ht="10.5" x14ac:dyDescent="0.15">
      <c r="A101" s="74" t="s">
        <v>127</v>
      </c>
      <c r="B101" s="589" t="s">
        <v>122</v>
      </c>
      <c r="C101" s="590"/>
      <c r="D101" s="591"/>
      <c r="E101" s="385">
        <f>IF(RIGHT(G91,3)="Não", E98*F65*F101,0.02)</f>
        <v>0.02</v>
      </c>
      <c r="F101" s="53">
        <f>IF(F98&gt;0,40%,0)</f>
        <v>0.4</v>
      </c>
      <c r="G101" s="389">
        <f>G42*E101</f>
        <v>0</v>
      </c>
      <c r="I101" s="186"/>
      <c r="K101" s="390"/>
      <c r="L101" s="390"/>
      <c r="M101" s="436"/>
      <c r="N101" s="64"/>
    </row>
    <row r="102" spans="1:15" s="18" customFormat="1" ht="13.15" hidden="1" customHeight="1" x14ac:dyDescent="0.15">
      <c r="A102" s="373" t="s">
        <v>128</v>
      </c>
      <c r="B102" s="595" t="s">
        <v>198</v>
      </c>
      <c r="C102" s="596"/>
      <c r="D102" s="374" t="s">
        <v>8</v>
      </c>
      <c r="E102" s="375">
        <f>(1 + 0.0833 + 0.0833 + 0.0278) * F102*F$94*0.9*0.5</f>
        <v>0</v>
      </c>
      <c r="F102" s="376">
        <f>IF(D102="Sim",10%,0)</f>
        <v>0</v>
      </c>
      <c r="G102" s="377">
        <f>ROUND($G$45*E102,2)</f>
        <v>0</v>
      </c>
      <c r="H102" s="66"/>
      <c r="I102" s="64"/>
      <c r="K102" s="256"/>
      <c r="L102" s="256"/>
    </row>
    <row r="103" spans="1:15" s="18" customFormat="1" ht="18.75" hidden="1" customHeight="1" x14ac:dyDescent="0.15">
      <c r="A103" s="378" t="s">
        <v>25</v>
      </c>
      <c r="B103" s="598" t="s">
        <v>258</v>
      </c>
      <c r="C103" s="598"/>
      <c r="D103" s="598"/>
      <c r="E103" s="379"/>
      <c r="F103" s="380"/>
      <c r="G103" s="381"/>
      <c r="H103" s="66"/>
      <c r="I103" s="64"/>
      <c r="K103" s="256"/>
      <c r="L103" s="256"/>
    </row>
    <row r="104" spans="1:15" s="84" customFormat="1" ht="18" customHeight="1" x14ac:dyDescent="0.15">
      <c r="A104" s="179"/>
      <c r="B104" s="285" t="s">
        <v>101</v>
      </c>
      <c r="C104" s="285"/>
      <c r="D104" s="285"/>
      <c r="E104" s="285"/>
      <c r="F104" s="159"/>
      <c r="G104" s="160">
        <f>SUM(G93:G102)</f>
        <v>0</v>
      </c>
    </row>
    <row r="105" spans="1:15" s="18" customFormat="1" ht="12.75" customHeight="1" x14ac:dyDescent="0.15">
      <c r="A105" s="25"/>
      <c r="B105" s="58"/>
      <c r="C105" s="26"/>
      <c r="D105" s="26"/>
      <c r="E105" s="26"/>
      <c r="F105" s="26"/>
      <c r="G105" s="27"/>
    </row>
    <row r="106" spans="1:15" s="89" customFormat="1" ht="18" customHeight="1" x14ac:dyDescent="0.2">
      <c r="A106" s="123" t="s">
        <v>129</v>
      </c>
      <c r="B106" s="86"/>
      <c r="C106" s="86"/>
      <c r="D106" s="124"/>
      <c r="E106" s="124"/>
      <c r="F106" s="124"/>
      <c r="G106" s="88"/>
    </row>
    <row r="107" spans="1:15" s="18" customFormat="1" ht="24" customHeight="1" x14ac:dyDescent="0.2">
      <c r="A107" s="28" t="s">
        <v>130</v>
      </c>
      <c r="B107" s="597" t="str">
        <f>"Submódulo - Substituto nas Ausências Legais  - Vinculada? "&amp;PARAMETROS!$C$27</f>
        <v>Submódulo - Substituto nas Ausências Legais  - Vinculada? Sim</v>
      </c>
      <c r="C107" s="517"/>
      <c r="D107" s="517"/>
      <c r="E107" s="182" t="s">
        <v>259</v>
      </c>
      <c r="F107" s="257" t="s">
        <v>265</v>
      </c>
      <c r="G107" s="121" t="s">
        <v>47</v>
      </c>
      <c r="I107" s="314" t="s">
        <v>218</v>
      </c>
    </row>
    <row r="108" spans="1:15" s="18" customFormat="1" ht="28.9" customHeight="1" x14ac:dyDescent="0.15">
      <c r="A108" s="8" t="s">
        <v>13</v>
      </c>
      <c r="B108" s="541" t="s">
        <v>263</v>
      </c>
      <c r="C108" s="542"/>
      <c r="D108" s="542"/>
      <c r="E108" s="424" t="str">
        <f>(IF(RIGHT(B114,3)="Sim",1/11,"Somente na prorrogação"))</f>
        <v>Somente na prorrogação</v>
      </c>
      <c r="F108" s="427" t="str">
        <f>(IF(RIGHT(B114,3)="Sim",1,"Somente na prorrogação"))</f>
        <v>Somente na prorrogação</v>
      </c>
      <c r="G108" s="428" t="str">
        <f>IF(RIGHT(B114,3)="Não","Somente na prorrogação",ROUND(((G42+G88+G104+G136-F78-F136)/F29),2))</f>
        <v>Somente na prorrogação</v>
      </c>
      <c r="H108" s="66"/>
      <c r="I108" s="64"/>
      <c r="K108" s="64"/>
      <c r="M108" s="66"/>
      <c r="N108" s="64"/>
      <c r="O108" s="64"/>
    </row>
    <row r="109" spans="1:15" s="18" customFormat="1" ht="28.9" customHeight="1" x14ac:dyDescent="0.15">
      <c r="A109" s="10" t="s">
        <v>15</v>
      </c>
      <c r="B109" s="496" t="str">
        <f>"Substituto nas Ausências legais ("&amp;(F109)&amp;" faltas/ano)"</f>
        <v>Substituto nas Ausências legais (8 faltas/ano)</v>
      </c>
      <c r="C109" s="497"/>
      <c r="D109" s="497"/>
      <c r="E109" s="425">
        <f>ROUND((F109/30/12),4)</f>
        <v>2.2200000000000001E-2</v>
      </c>
      <c r="F109" s="259">
        <v>8</v>
      </c>
      <c r="G109" s="33">
        <f>(G42+G88+G104)/30/12*F109</f>
        <v>0</v>
      </c>
      <c r="H109" s="66"/>
      <c r="I109" s="64"/>
      <c r="M109" s="66"/>
      <c r="N109" s="66"/>
    </row>
    <row r="110" spans="1:15" s="18" customFormat="1" ht="28.9" customHeight="1" x14ac:dyDescent="0.15">
      <c r="A110" s="10" t="s">
        <v>17</v>
      </c>
      <c r="B110" s="496" t="str">
        <f>"Substituto Licença paternidade (probabilidade de ocorrência = "&amp;(F110*100)&amp;"%/ano)"</f>
        <v>Substituto Licença paternidade (probabilidade de ocorrência = 2%/ano)</v>
      </c>
      <c r="C110" s="497"/>
      <c r="D110" s="497"/>
      <c r="E110" s="425">
        <f>ROUND((5/30/12) * F110,4)</f>
        <v>2.9999999999999997E-4</v>
      </c>
      <c r="F110" s="258">
        <v>0.02</v>
      </c>
      <c r="G110" s="33">
        <f>ROUND(G$45/30*5/12*F110,2)</f>
        <v>0</v>
      </c>
      <c r="N110" s="64"/>
    </row>
    <row r="111" spans="1:15" s="18" customFormat="1" ht="28.9" customHeight="1" x14ac:dyDescent="0.15">
      <c r="A111" s="10" t="s">
        <v>19</v>
      </c>
      <c r="B111" s="496" t="str">
        <f>"Substituto Ausência por acidente de trabalho (probabilidade de ocorrência = "&amp;(F111)&amp;" Faltas/ano)"</f>
        <v>Substituto Ausência por acidente de trabalho (probabilidade de ocorrência = 5 Faltas/ano)</v>
      </c>
      <c r="C111" s="497"/>
      <c r="D111" s="585"/>
      <c r="E111" s="425">
        <f>ROUND((F111/30/12 ),4)</f>
        <v>1.3899999999999999E-2</v>
      </c>
      <c r="F111" s="259">
        <v>5</v>
      </c>
      <c r="G111" s="33">
        <f>((G45)+G88+G104)/30/12*F111</f>
        <v>0</v>
      </c>
      <c r="H111" s="64"/>
      <c r="N111" s="64"/>
    </row>
    <row r="112" spans="1:15" s="18" customFormat="1" ht="28.9" customHeight="1" x14ac:dyDescent="0.15">
      <c r="A112" s="10" t="s">
        <v>21</v>
      </c>
      <c r="B112" s="496" t="str">
        <f>"Substituto Licença maternidade (probabilidade de ocorrência = "&amp;(F112*100)&amp;"% ao ano)"</f>
        <v>Substituto Licença maternidade (probabilidade de ocorrência = 5,28% ao ano)</v>
      </c>
      <c r="C112" s="497"/>
      <c r="D112" s="585"/>
      <c r="E112" s="425">
        <f>((1/12)+(1/3/12)) * F112 * (6/12)</f>
        <v>2.9333333333333334E-3</v>
      </c>
      <c r="F112" s="258">
        <v>5.28E-2</v>
      </c>
      <c r="G112" s="33">
        <f>ROUND(G$45/30*5/12*F112,2)</f>
        <v>0</v>
      </c>
    </row>
    <row r="113" spans="1:14" s="18" customFormat="1" ht="28.9" customHeight="1" x14ac:dyDescent="0.15">
      <c r="A113" s="10" t="s">
        <v>23</v>
      </c>
      <c r="B113" s="586" t="s">
        <v>133</v>
      </c>
      <c r="C113" s="587"/>
      <c r="D113" s="588"/>
      <c r="E113" s="426"/>
      <c r="F113" s="315" t="s">
        <v>0</v>
      </c>
      <c r="G113" s="34"/>
      <c r="H113" s="64"/>
    </row>
    <row r="114" spans="1:14" s="18" customFormat="1" ht="18" customHeight="1" x14ac:dyDescent="0.15">
      <c r="A114" s="318"/>
      <c r="B114" s="423" t="str">
        <f>"Contrato prorrogado? "&amp;F10</f>
        <v>Contrato prorrogado? Não</v>
      </c>
      <c r="C114" s="286"/>
      <c r="D114" s="286"/>
      <c r="E114" s="180" t="s">
        <v>260</v>
      </c>
      <c r="F114" s="47"/>
      <c r="G114" s="11">
        <f>SUM(G108:G113)</f>
        <v>0</v>
      </c>
      <c r="K114" s="255"/>
      <c r="L114" s="255"/>
    </row>
    <row r="115" spans="1:14" s="18" customFormat="1" ht="10.5" x14ac:dyDescent="0.15">
      <c r="A115" s="328"/>
      <c r="B115" s="328"/>
      <c r="C115" s="328"/>
      <c r="D115" s="328"/>
      <c r="E115" s="328"/>
      <c r="F115" s="328"/>
      <c r="G115" s="328"/>
    </row>
    <row r="116" spans="1:14" s="18" customFormat="1" ht="24" customHeight="1" x14ac:dyDescent="0.15">
      <c r="A116" s="29" t="s">
        <v>136</v>
      </c>
      <c r="B116" s="508" t="s">
        <v>137</v>
      </c>
      <c r="C116" s="509"/>
      <c r="D116" s="509"/>
      <c r="E116" s="509"/>
      <c r="F116" s="510"/>
      <c r="G116" s="121" t="s">
        <v>47</v>
      </c>
    </row>
    <row r="117" spans="1:14" s="18" customFormat="1" ht="22.5" customHeight="1" x14ac:dyDescent="0.15">
      <c r="A117" s="8" t="s">
        <v>13</v>
      </c>
      <c r="B117" s="527" t="s">
        <v>138</v>
      </c>
      <c r="C117" s="528"/>
      <c r="D117" s="528"/>
      <c r="E117" s="528"/>
      <c r="F117" s="287" t="s">
        <v>8</v>
      </c>
      <c r="G117" s="32" t="str">
        <f>IF(F117="Sim",ROUND(G$45/$G$30*22*(F118*24),4),"")</f>
        <v/>
      </c>
      <c r="H117" s="66"/>
      <c r="I117" s="64"/>
    </row>
    <row r="118" spans="1:14" s="18" customFormat="1" ht="22.5" customHeight="1" x14ac:dyDescent="0.15">
      <c r="A118" s="177" t="s">
        <v>140</v>
      </c>
      <c r="B118" s="498" t="s">
        <v>141</v>
      </c>
      <c r="C118" s="499"/>
      <c r="D118" s="499"/>
      <c r="E118" s="499"/>
      <c r="F118" s="157">
        <v>4.1666666666666664E-2</v>
      </c>
      <c r="G118" s="34"/>
      <c r="H118" s="64"/>
      <c r="N118" s="115"/>
    </row>
    <row r="119" spans="1:14" s="18" customFormat="1" ht="18" customHeight="1" x14ac:dyDescent="0.15">
      <c r="A119" s="316"/>
      <c r="B119" s="205" t="s">
        <v>101</v>
      </c>
      <c r="C119" s="205"/>
      <c r="D119" s="205"/>
      <c r="E119" s="205"/>
      <c r="F119" s="207"/>
      <c r="G119" s="12">
        <f>SUM(G117:G118)</f>
        <v>0</v>
      </c>
    </row>
    <row r="120" spans="1:14" s="18" customFormat="1" ht="10.5" x14ac:dyDescent="0.15">
      <c r="A120" s="531" t="s">
        <v>142</v>
      </c>
      <c r="B120" s="513"/>
      <c r="C120" s="513"/>
      <c r="D120" s="513"/>
      <c r="E120" s="513"/>
      <c r="F120" s="513"/>
      <c r="G120" s="532"/>
    </row>
    <row r="121" spans="1:14" s="18" customFormat="1" ht="10.5" x14ac:dyDescent="0.15">
      <c r="A121" s="582" t="s">
        <v>219</v>
      </c>
      <c r="B121" s="583"/>
      <c r="C121" s="583"/>
      <c r="D121" s="583"/>
      <c r="E121" s="583"/>
      <c r="F121" s="583"/>
      <c r="G121" s="584"/>
    </row>
    <row r="122" spans="1:14" s="18" customFormat="1" ht="17.25" customHeight="1" x14ac:dyDescent="0.15">
      <c r="A122" s="70"/>
      <c r="B122" s="70"/>
      <c r="C122" s="70"/>
      <c r="D122" s="70"/>
      <c r="E122" s="70"/>
      <c r="F122" s="70"/>
      <c r="G122" s="70"/>
    </row>
    <row r="123" spans="1:14" s="133" customFormat="1" ht="24" customHeight="1" x14ac:dyDescent="0.15">
      <c r="A123" s="135" t="s">
        <v>144</v>
      </c>
      <c r="B123" s="141"/>
      <c r="C123" s="142"/>
      <c r="D123" s="142"/>
      <c r="E123" s="142"/>
      <c r="F123" s="142"/>
      <c r="G123" s="143"/>
    </row>
    <row r="124" spans="1:14" s="134" customFormat="1" ht="24" customHeight="1" x14ac:dyDescent="0.15">
      <c r="A124" s="136">
        <v>4</v>
      </c>
      <c r="B124" s="137" t="s">
        <v>110</v>
      </c>
      <c r="C124" s="138"/>
      <c r="D124" s="138"/>
      <c r="E124" s="138"/>
      <c r="F124" s="138"/>
      <c r="G124" s="139"/>
    </row>
    <row r="125" spans="1:14" s="133" customFormat="1" ht="24" customHeight="1" x14ac:dyDescent="0.15">
      <c r="A125" s="140" t="s">
        <v>130</v>
      </c>
      <c r="B125" s="141" t="s">
        <v>145</v>
      </c>
      <c r="C125" s="142"/>
      <c r="D125" s="142"/>
      <c r="E125" s="142"/>
      <c r="F125" s="143"/>
      <c r="G125" s="149">
        <f>G114</f>
        <v>0</v>
      </c>
    </row>
    <row r="126" spans="1:14" s="133" customFormat="1" ht="24" customHeight="1" x14ac:dyDescent="0.15">
      <c r="A126" s="140" t="s">
        <v>136</v>
      </c>
      <c r="B126" s="141" t="s">
        <v>146</v>
      </c>
      <c r="C126" s="142"/>
      <c r="D126" s="142"/>
      <c r="E126" s="142"/>
      <c r="F126" s="143"/>
      <c r="G126" s="149">
        <f>G119</f>
        <v>0</v>
      </c>
    </row>
    <row r="127" spans="1:14" s="133" customFormat="1" ht="24" customHeight="1" x14ac:dyDescent="0.15">
      <c r="A127" s="140"/>
      <c r="B127" s="141"/>
      <c r="C127" s="142"/>
      <c r="D127" s="142"/>
      <c r="E127" s="142"/>
      <c r="F127" s="143"/>
      <c r="G127" s="149"/>
    </row>
    <row r="128" spans="1:14" s="133" customFormat="1" ht="18" customHeight="1" x14ac:dyDescent="0.15">
      <c r="A128" s="147"/>
      <c r="B128" s="144" t="s">
        <v>114</v>
      </c>
      <c r="C128" s="144"/>
      <c r="D128" s="148" t="s">
        <v>101</v>
      </c>
      <c r="E128" s="144"/>
      <c r="F128" s="145"/>
      <c r="G128" s="146">
        <f>SUM(G125:G127)</f>
        <v>0</v>
      </c>
    </row>
    <row r="129" spans="1:9" s="18" customFormat="1" ht="18" customHeight="1" x14ac:dyDescent="0.15">
      <c r="A129" s="25"/>
      <c r="B129" s="58"/>
      <c r="C129" s="26"/>
      <c r="D129" s="26"/>
      <c r="E129" s="26"/>
      <c r="F129" s="26"/>
      <c r="G129" s="27"/>
    </row>
    <row r="130" spans="1:9" s="129" customFormat="1" ht="18" customHeight="1" x14ac:dyDescent="0.2">
      <c r="A130" s="123" t="s">
        <v>45</v>
      </c>
      <c r="B130" s="126"/>
      <c r="C130" s="126"/>
      <c r="D130" s="127"/>
      <c r="E130" s="127"/>
      <c r="F130" s="127"/>
      <c r="G130" s="128"/>
    </row>
    <row r="131" spans="1:9" s="130" customFormat="1" ht="18" customHeight="1" x14ac:dyDescent="0.2">
      <c r="A131" s="6">
        <v>5</v>
      </c>
      <c r="B131" s="62" t="s">
        <v>46</v>
      </c>
      <c r="C131" s="285"/>
      <c r="D131" s="285"/>
      <c r="E131" s="285"/>
      <c r="F131" s="429" t="s">
        <v>261</v>
      </c>
      <c r="G131" s="60" t="s">
        <v>47</v>
      </c>
    </row>
    <row r="132" spans="1:9" s="130" customFormat="1" ht="18" customHeight="1" x14ac:dyDescent="0.2">
      <c r="A132" s="8" t="s">
        <v>13</v>
      </c>
      <c r="B132" s="448" t="s">
        <v>48</v>
      </c>
      <c r="C132" s="449"/>
      <c r="D132" s="449"/>
      <c r="E132" s="449"/>
      <c r="F132" s="430"/>
      <c r="G132" s="161">
        <f>PARAMETROS!C59</f>
        <v>0</v>
      </c>
      <c r="I132" s="131"/>
    </row>
    <row r="133" spans="1:9" s="130" customFormat="1" ht="18" customHeight="1" x14ac:dyDescent="0.2">
      <c r="A133" s="10" t="s">
        <v>15</v>
      </c>
      <c r="B133" s="446" t="s">
        <v>49</v>
      </c>
      <c r="C133" s="447"/>
      <c r="D133" s="447"/>
      <c r="E133" s="447"/>
      <c r="F133" s="431" t="s">
        <v>139</v>
      </c>
      <c r="G133" s="161">
        <f>PARAMETROS!C60</f>
        <v>0</v>
      </c>
    </row>
    <row r="134" spans="1:9" s="130" customFormat="1" ht="18" customHeight="1" x14ac:dyDescent="0.2">
      <c r="A134" s="10" t="s">
        <v>17</v>
      </c>
      <c r="B134" s="446" t="s">
        <v>50</v>
      </c>
      <c r="C134" s="447"/>
      <c r="D134" s="447"/>
      <c r="E134" s="447"/>
      <c r="F134" s="431" t="s">
        <v>139</v>
      </c>
      <c r="G134" s="161">
        <f>PARAMETROS!C61</f>
        <v>0</v>
      </c>
    </row>
    <row r="135" spans="1:9" s="130" customFormat="1" ht="18" customHeight="1" x14ac:dyDescent="0.2">
      <c r="A135" s="177" t="s">
        <v>25</v>
      </c>
      <c r="B135" s="273" t="s">
        <v>51</v>
      </c>
      <c r="C135" s="274"/>
      <c r="D135" s="274"/>
      <c r="E135" s="274"/>
      <c r="F135" s="432"/>
      <c r="G135" s="161">
        <f>PARAMETROS!C62</f>
        <v>0</v>
      </c>
    </row>
    <row r="136" spans="1:9" s="130" customFormat="1" ht="18" customHeight="1" x14ac:dyDescent="0.2">
      <c r="A136" s="13"/>
      <c r="B136" s="180" t="s">
        <v>29</v>
      </c>
      <c r="C136" s="52"/>
      <c r="D136" s="52"/>
      <c r="E136" s="52"/>
      <c r="F136" s="433">
        <f>SUMIF(F132:F135,"Sim",G132:G135)</f>
        <v>0</v>
      </c>
      <c r="G136" s="14">
        <f>SUM(G132:G135)</f>
        <v>0</v>
      </c>
    </row>
    <row r="137" spans="1:9" s="76" customFormat="1" ht="15.75" customHeight="1" x14ac:dyDescent="0.15">
      <c r="A137" s="77"/>
      <c r="B137" s="78"/>
      <c r="C137" s="77"/>
      <c r="D137" s="77"/>
      <c r="E137" s="77"/>
      <c r="F137" s="77"/>
      <c r="G137" s="77"/>
    </row>
    <row r="138" spans="1:9" s="89" customFormat="1" ht="18" customHeight="1" x14ac:dyDescent="0.2">
      <c r="A138" s="85" t="s">
        <v>149</v>
      </c>
      <c r="B138" s="86"/>
      <c r="C138" s="86"/>
      <c r="D138" s="87"/>
      <c r="E138" s="87"/>
      <c r="F138" s="87"/>
      <c r="G138" s="88"/>
    </row>
    <row r="139" spans="1:9" s="18" customFormat="1" ht="18" customHeight="1" x14ac:dyDescent="0.15">
      <c r="A139" s="28">
        <v>6</v>
      </c>
      <c r="B139" s="61" t="s">
        <v>150</v>
      </c>
      <c r="C139" s="445"/>
      <c r="D139" s="445"/>
      <c r="E139" s="445"/>
      <c r="F139" s="54" t="s">
        <v>12</v>
      </c>
      <c r="G139" s="60" t="s">
        <v>47</v>
      </c>
    </row>
    <row r="140" spans="1:9" s="18" customFormat="1" ht="19.5" customHeight="1" x14ac:dyDescent="0.15">
      <c r="A140" s="8" t="s">
        <v>13</v>
      </c>
      <c r="B140" s="489" t="s">
        <v>151</v>
      </c>
      <c r="C140" s="490"/>
      <c r="D140" s="490"/>
      <c r="E140" s="490"/>
      <c r="F140" s="72">
        <v>0.1</v>
      </c>
      <c r="G140" s="91">
        <f>ROUND(($G$45+$G$88+$G$104+$G$128+$G$136)*F140,2)</f>
        <v>0</v>
      </c>
      <c r="H140" s="64"/>
    </row>
    <row r="141" spans="1:9" s="18" customFormat="1" ht="19.5" customHeight="1" x14ac:dyDescent="0.15">
      <c r="A141" s="179" t="s">
        <v>15</v>
      </c>
      <c r="B141" s="489" t="s">
        <v>264</v>
      </c>
      <c r="C141" s="490"/>
      <c r="D141" s="490"/>
      <c r="E141" s="490"/>
      <c r="F141" s="92">
        <v>0.1</v>
      </c>
      <c r="G141" s="91">
        <f>ROUND(($G$45+$G$88+$G$104+$G$128+$G$136+$G$140)*F141,2)</f>
        <v>0</v>
      </c>
    </row>
    <row r="142" spans="1:9" s="18" customFormat="1" ht="18" customHeight="1" x14ac:dyDescent="0.15">
      <c r="A142" s="179" t="s">
        <v>17</v>
      </c>
      <c r="B142" s="63" t="s">
        <v>153</v>
      </c>
      <c r="C142" s="93"/>
      <c r="D142" s="93"/>
      <c r="E142" s="93"/>
      <c r="F142" s="35">
        <f>SUM(F144:F149)</f>
        <v>8.6499999999999994E-2</v>
      </c>
      <c r="G142" s="36"/>
    </row>
    <row r="143" spans="1:9" s="18" customFormat="1" ht="18" customHeight="1" x14ac:dyDescent="0.15">
      <c r="A143" s="179"/>
      <c r="B143" s="63" t="s">
        <v>154</v>
      </c>
      <c r="C143" s="93"/>
      <c r="D143" s="93"/>
      <c r="E143" s="93"/>
      <c r="F143" s="35"/>
      <c r="G143" s="31"/>
    </row>
    <row r="144" spans="1:9" s="18" customFormat="1" ht="18" customHeight="1" x14ac:dyDescent="0.15">
      <c r="A144" s="10"/>
      <c r="B144" s="162" t="s">
        <v>155</v>
      </c>
      <c r="C144" s="163"/>
      <c r="D144" s="163"/>
      <c r="E144" s="163"/>
      <c r="F144" s="164">
        <v>6.4999999999999997E-3</v>
      </c>
      <c r="G144" s="165">
        <f>ROUND($G$153*F144,2)</f>
        <v>0</v>
      </c>
    </row>
    <row r="145" spans="1:15" s="18" customFormat="1" ht="18" customHeight="1" x14ac:dyDescent="0.15">
      <c r="A145" s="10"/>
      <c r="B145" s="162" t="s">
        <v>156</v>
      </c>
      <c r="C145" s="163"/>
      <c r="D145" s="163"/>
      <c r="E145" s="163"/>
      <c r="F145" s="164">
        <v>0.03</v>
      </c>
      <c r="G145" s="165">
        <f>ROUND($G$153*F145,2)</f>
        <v>0</v>
      </c>
    </row>
    <row r="146" spans="1:15" s="18" customFormat="1" ht="18" customHeight="1" x14ac:dyDescent="0.15">
      <c r="A146" s="179"/>
      <c r="B146" s="63" t="s">
        <v>157</v>
      </c>
      <c r="C146" s="93"/>
      <c r="D146" s="93"/>
      <c r="E146" s="93"/>
      <c r="F146" s="92"/>
      <c r="G146" s="160"/>
    </row>
    <row r="147" spans="1:15" s="18" customFormat="1" ht="18" customHeight="1" x14ac:dyDescent="0.15">
      <c r="A147" s="179"/>
      <c r="B147" s="63" t="s">
        <v>158</v>
      </c>
      <c r="C147" s="93"/>
      <c r="D147" s="93"/>
      <c r="E147" s="93"/>
      <c r="F147" s="35"/>
      <c r="G147" s="160"/>
    </row>
    <row r="148" spans="1:15" s="18" customFormat="1" ht="18" customHeight="1" x14ac:dyDescent="0.15">
      <c r="A148" s="8"/>
      <c r="B148" s="166" t="s">
        <v>159</v>
      </c>
      <c r="C148" s="168"/>
      <c r="D148" s="168"/>
      <c r="E148" s="168"/>
      <c r="F148" s="167">
        <v>0.05</v>
      </c>
      <c r="G148" s="165">
        <f>ROUND($G$153*F148,2)</f>
        <v>0</v>
      </c>
    </row>
    <row r="149" spans="1:15" s="18" customFormat="1" ht="18" customHeight="1" x14ac:dyDescent="0.15">
      <c r="A149" s="179"/>
      <c r="B149" s="63" t="s">
        <v>160</v>
      </c>
      <c r="C149" s="93"/>
      <c r="D149" s="93"/>
      <c r="E149" s="93"/>
      <c r="F149" s="35"/>
      <c r="G149" s="14"/>
    </row>
    <row r="150" spans="1:15" s="18" customFormat="1" ht="18" customHeight="1" x14ac:dyDescent="0.15">
      <c r="A150" s="179"/>
      <c r="B150" s="285" t="s">
        <v>101</v>
      </c>
      <c r="C150" s="285"/>
      <c r="D150" s="285"/>
      <c r="E150" s="285"/>
      <c r="F150" s="35"/>
      <c r="G150" s="31">
        <f>SUM(G140:G149)</f>
        <v>0</v>
      </c>
      <c r="N150" s="64"/>
      <c r="O150" s="64"/>
    </row>
    <row r="151" spans="1:15" s="7" customFormat="1" ht="18" customHeight="1" x14ac:dyDescent="0.2">
      <c r="A151" s="38" t="str">
        <f>"a) F = Tributos (%) /100"&amp;" = "&amp;(F142*100)&amp;"% / 100 = "&amp;ROUND((F142*100)/100,4)</f>
        <v>a) F = Tributos (%) /100 = 8,65% / 100 = 0,0865</v>
      </c>
      <c r="B151" s="39"/>
      <c r="C151" s="39"/>
      <c r="D151" s="39"/>
      <c r="E151" s="39"/>
      <c r="F151" s="39"/>
      <c r="G151" s="40"/>
      <c r="H151" s="49"/>
      <c r="I151" s="50"/>
    </row>
    <row r="152" spans="1:15" s="7" customFormat="1" ht="18" customHeight="1" x14ac:dyDescent="0.2">
      <c r="A152" s="42" t="s">
        <v>161</v>
      </c>
      <c r="B152" s="41"/>
      <c r="C152" s="41"/>
      <c r="D152" s="41"/>
      <c r="E152" s="41"/>
      <c r="F152" s="41"/>
      <c r="G152" s="37">
        <f>ROUND(($G$45+$G$88+$G$104+$G$128+$G$136+$G$140+$G$141),2)</f>
        <v>0</v>
      </c>
      <c r="H152" s="46"/>
      <c r="I152" s="50"/>
      <c r="N152" s="68"/>
      <c r="O152" s="68"/>
    </row>
    <row r="153" spans="1:15" s="7" customFormat="1" ht="18" customHeight="1" x14ac:dyDescent="0.2">
      <c r="A153" s="42" t="str">
        <f>"c) PF= P / (1 - F) = P  / (1 - "&amp;F142&amp;") =  P / "&amp;(1-F142)&amp;" = "</f>
        <v xml:space="preserve">c) PF= P / (1 - F) = P  / (1 - 0,0865) =  P / 0,9135 = </v>
      </c>
      <c r="B153" s="41"/>
      <c r="C153" s="41"/>
      <c r="D153" s="41"/>
      <c r="E153" s="41"/>
      <c r="F153" s="41"/>
      <c r="G153" s="37">
        <f>ROUND(G152/ (1-$F142),2)</f>
        <v>0</v>
      </c>
      <c r="H153" s="46"/>
      <c r="I153" s="50"/>
      <c r="O153" s="68"/>
    </row>
    <row r="154" spans="1:15" s="7" customFormat="1" ht="18" customHeight="1" x14ac:dyDescent="0.2">
      <c r="A154" s="43" t="str">
        <f>"VALOR DOS TRIBUTOS = PF - P =  "</f>
        <v xml:space="preserve">VALOR DOS TRIBUTOS = PF - P =  </v>
      </c>
      <c r="B154" s="44"/>
      <c r="C154" s="44"/>
      <c r="D154" s="44"/>
      <c r="E154" s="44"/>
      <c r="F154" s="45"/>
      <c r="G154" s="48">
        <f>G153-G152</f>
        <v>0</v>
      </c>
      <c r="H154" s="46"/>
      <c r="I154" s="50"/>
    </row>
    <row r="155" spans="1:15" s="7" customFormat="1" ht="10.5" x14ac:dyDescent="0.2">
      <c r="A155" s="329" t="s">
        <v>162</v>
      </c>
      <c r="B155" s="330" t="s">
        <v>163</v>
      </c>
      <c r="C155" s="331"/>
      <c r="D155" s="331"/>
      <c r="E155" s="331"/>
      <c r="F155" s="39"/>
      <c r="G155" s="332"/>
      <c r="H155" s="46"/>
      <c r="I155" s="50"/>
    </row>
    <row r="156" spans="1:15" s="7" customFormat="1" ht="10.5" x14ac:dyDescent="0.2">
      <c r="A156" s="333"/>
      <c r="B156" s="79" t="s">
        <v>164</v>
      </c>
      <c r="C156" s="95"/>
      <c r="D156" s="95"/>
      <c r="E156" s="95"/>
      <c r="F156" s="41"/>
      <c r="G156" s="334"/>
      <c r="H156" s="46"/>
      <c r="I156" s="50"/>
    </row>
    <row r="157" spans="1:15" s="7" customFormat="1" ht="10.5" x14ac:dyDescent="0.2">
      <c r="A157" s="333"/>
      <c r="B157" s="79" t="s">
        <v>165</v>
      </c>
      <c r="C157" s="95"/>
      <c r="D157" s="95"/>
      <c r="E157" s="95"/>
      <c r="F157" s="41"/>
      <c r="G157" s="334"/>
      <c r="H157" s="46"/>
      <c r="I157" s="50"/>
    </row>
    <row r="158" spans="1:15" s="7" customFormat="1" ht="10.5" x14ac:dyDescent="0.2">
      <c r="A158" s="43"/>
      <c r="B158" s="440"/>
      <c r="C158" s="44"/>
      <c r="D158" s="44"/>
      <c r="E158" s="44"/>
      <c r="F158" s="45"/>
      <c r="G158" s="48"/>
      <c r="H158" s="46"/>
      <c r="I158" s="50"/>
    </row>
    <row r="159" spans="1:15" ht="18" customHeight="1" x14ac:dyDescent="0.15">
      <c r="H159" s="51"/>
      <c r="I159" s="51"/>
    </row>
    <row r="160" spans="1:15" s="89" customFormat="1" ht="18" customHeight="1" x14ac:dyDescent="0.2">
      <c r="A160" s="90" t="s">
        <v>166</v>
      </c>
      <c r="B160" s="86"/>
      <c r="C160" s="86"/>
      <c r="D160" s="87"/>
      <c r="E160" s="87"/>
      <c r="F160" s="87"/>
      <c r="G160" s="88"/>
    </row>
    <row r="161" spans="1:9" s="18" customFormat="1" ht="21.75" customHeight="1" x14ac:dyDescent="0.15">
      <c r="A161" s="97"/>
      <c r="B161" s="491" t="s">
        <v>167</v>
      </c>
      <c r="C161" s="491"/>
      <c r="D161" s="491"/>
      <c r="E161" s="491"/>
      <c r="F161" s="492"/>
      <c r="G161" s="98" t="s">
        <v>47</v>
      </c>
      <c r="H161" s="25"/>
      <c r="I161" s="25"/>
    </row>
    <row r="162" spans="1:9" s="18" customFormat="1" ht="21.75" customHeight="1" x14ac:dyDescent="0.15">
      <c r="A162" s="100" t="s">
        <v>13</v>
      </c>
      <c r="B162" s="101" t="s">
        <v>168</v>
      </c>
      <c r="C162" s="102"/>
      <c r="D162" s="102"/>
      <c r="E162" s="102"/>
      <c r="F162" s="103"/>
      <c r="G162" s="169">
        <f>$G$45</f>
        <v>0</v>
      </c>
    </row>
    <row r="163" spans="1:9" s="18" customFormat="1" ht="21.75" customHeight="1" x14ac:dyDescent="0.15">
      <c r="A163" s="104" t="s">
        <v>15</v>
      </c>
      <c r="B163" s="105" t="s">
        <v>169</v>
      </c>
      <c r="C163" s="106"/>
      <c r="D163" s="106"/>
      <c r="E163" s="106"/>
      <c r="F163" s="69"/>
      <c r="G163" s="170">
        <f>$G$88</f>
        <v>0</v>
      </c>
    </row>
    <row r="164" spans="1:9" s="18" customFormat="1" ht="21.75" customHeight="1" x14ac:dyDescent="0.15">
      <c r="A164" s="104" t="s">
        <v>17</v>
      </c>
      <c r="B164" s="105" t="s">
        <v>170</v>
      </c>
      <c r="C164" s="106"/>
      <c r="D164" s="106"/>
      <c r="E164" s="106"/>
      <c r="F164" s="69"/>
      <c r="G164" s="170">
        <f>$G$104</f>
        <v>0</v>
      </c>
    </row>
    <row r="165" spans="1:9" s="18" customFormat="1" ht="21.75" customHeight="1" x14ac:dyDescent="0.15">
      <c r="A165" s="104" t="s">
        <v>19</v>
      </c>
      <c r="B165" s="105" t="s">
        <v>171</v>
      </c>
      <c r="C165" s="106"/>
      <c r="D165" s="106"/>
      <c r="E165" s="106"/>
      <c r="F165" s="69"/>
      <c r="G165" s="170">
        <f>$G$128</f>
        <v>0</v>
      </c>
    </row>
    <row r="166" spans="1:9" s="18" customFormat="1" ht="21.75" customHeight="1" x14ac:dyDescent="0.15">
      <c r="A166" s="104" t="s">
        <v>21</v>
      </c>
      <c r="B166" s="105" t="s">
        <v>172</v>
      </c>
      <c r="C166" s="106"/>
      <c r="D166" s="106"/>
      <c r="E166" s="106"/>
      <c r="F166" s="69"/>
      <c r="G166" s="170">
        <f>$G$136</f>
        <v>0</v>
      </c>
    </row>
    <row r="167" spans="1:9" s="18" customFormat="1" ht="21.75" customHeight="1" x14ac:dyDescent="0.15">
      <c r="A167" s="104"/>
      <c r="B167" s="107" t="s">
        <v>173</v>
      </c>
      <c r="C167" s="106"/>
      <c r="D167" s="106"/>
      <c r="E167" s="106"/>
      <c r="F167" s="69"/>
      <c r="G167" s="171">
        <f>SUM(G162:G166)</f>
        <v>0</v>
      </c>
    </row>
    <row r="168" spans="1:9" s="18" customFormat="1" ht="21.75" customHeight="1" x14ac:dyDescent="0.15">
      <c r="A168" s="109" t="s">
        <v>23</v>
      </c>
      <c r="B168" s="110" t="s">
        <v>174</v>
      </c>
      <c r="C168" s="111"/>
      <c r="D168" s="111"/>
      <c r="E168" s="111"/>
      <c r="F168" s="112"/>
      <c r="G168" s="172">
        <f>$G$150</f>
        <v>0</v>
      </c>
    </row>
    <row r="169" spans="1:9" s="18" customFormat="1" ht="21.75" customHeight="1" x14ac:dyDescent="0.15">
      <c r="A169" s="113"/>
      <c r="B169" s="99" t="s">
        <v>175</v>
      </c>
      <c r="C169" s="99"/>
      <c r="D169" s="99"/>
      <c r="E169" s="99"/>
      <c r="F169" s="114"/>
      <c r="G169" s="173">
        <f>SUM(G167:G168)</f>
        <v>0</v>
      </c>
      <c r="H169" s="64"/>
      <c r="I169" s="64"/>
    </row>
  </sheetData>
  <mergeCells count="74">
    <mergeCell ref="B11:E11"/>
    <mergeCell ref="A2:G2"/>
    <mergeCell ref="A3:G3"/>
    <mergeCell ref="A5:G5"/>
    <mergeCell ref="A6:G6"/>
    <mergeCell ref="B10:E10"/>
    <mergeCell ref="B25:F25"/>
    <mergeCell ref="A14:B14"/>
    <mergeCell ref="E14:F14"/>
    <mergeCell ref="A15:B15"/>
    <mergeCell ref="E15:F15"/>
    <mergeCell ref="A16:B16"/>
    <mergeCell ref="E16:F16"/>
    <mergeCell ref="A17:B17"/>
    <mergeCell ref="E17:F17"/>
    <mergeCell ref="A22:F22"/>
    <mergeCell ref="B23:F23"/>
    <mergeCell ref="B24:F24"/>
    <mergeCell ref="B42:E42"/>
    <mergeCell ref="B26:F26"/>
    <mergeCell ref="B27:F27"/>
    <mergeCell ref="A28:A29"/>
    <mergeCell ref="B28:C28"/>
    <mergeCell ref="D28:E28"/>
    <mergeCell ref="B29:C29"/>
    <mergeCell ref="D29:E29"/>
    <mergeCell ref="B30:C30"/>
    <mergeCell ref="E30:F30"/>
    <mergeCell ref="A34:G34"/>
    <mergeCell ref="B36:E36"/>
    <mergeCell ref="B41:D41"/>
    <mergeCell ref="A79:G79"/>
    <mergeCell ref="B43:E43"/>
    <mergeCell ref="A46:G46"/>
    <mergeCell ref="A49:G49"/>
    <mergeCell ref="B50:C50"/>
    <mergeCell ref="D50:E50"/>
    <mergeCell ref="B52:C52"/>
    <mergeCell ref="B57:E57"/>
    <mergeCell ref="C58:D58"/>
    <mergeCell ref="B68:E68"/>
    <mergeCell ref="B69:E69"/>
    <mergeCell ref="B71:E71"/>
    <mergeCell ref="B99:D99"/>
    <mergeCell ref="A80:G80"/>
    <mergeCell ref="A81:G81"/>
    <mergeCell ref="A90:G90"/>
    <mergeCell ref="B91:D91"/>
    <mergeCell ref="A92:E92"/>
    <mergeCell ref="B93:D93"/>
    <mergeCell ref="B94:D94"/>
    <mergeCell ref="B95:D95"/>
    <mergeCell ref="B96:D96"/>
    <mergeCell ref="B97:C97"/>
    <mergeCell ref="B98:D98"/>
    <mergeCell ref="B116:F116"/>
    <mergeCell ref="B100:D100"/>
    <mergeCell ref="B101:D101"/>
    <mergeCell ref="B102:C102"/>
    <mergeCell ref="B103:D103"/>
    <mergeCell ref="B107:D107"/>
    <mergeCell ref="B108:D108"/>
    <mergeCell ref="B109:D109"/>
    <mergeCell ref="B110:D110"/>
    <mergeCell ref="B111:D111"/>
    <mergeCell ref="B112:D112"/>
    <mergeCell ref="B113:D113"/>
    <mergeCell ref="B161:F161"/>
    <mergeCell ref="B117:E117"/>
    <mergeCell ref="B118:E118"/>
    <mergeCell ref="A120:G120"/>
    <mergeCell ref="A121:G121"/>
    <mergeCell ref="B140:E140"/>
    <mergeCell ref="B141:E141"/>
  </mergeCells>
  <dataValidations count="3">
    <dataValidation type="list" allowBlank="1" showInputMessage="1" showErrorMessage="1" sqref="F117 D97 D102 F10 F69:F77 F37 C39 F132:F135">
      <formula1>"Sim,Não"</formula1>
    </dataValidation>
    <dataValidation type="list" allowBlank="1" showInputMessage="1" showErrorMessage="1" sqref="F11">
      <formula1>"Normal,12X36"</formula1>
    </dataValidation>
    <dataValidation type="list" allowBlank="1" showInputMessage="1" showErrorMessage="1" errorTitle="VALORES INCORRETOS" error="Responder &quot;Sim&quot; ou &quot;Não&quot;" sqref="F43">
      <formula1>"Sim,Não"</formula1>
    </dataValidation>
  </dataValidations>
  <hyperlinks>
    <hyperlink ref="I107" r:id="rId1"/>
  </hyperlinks>
  <printOptions horizontalCentered="1"/>
  <pageMargins left="1.1811023622047245" right="0.39370078740157483" top="0.39370078740157483" bottom="0.39370078740157483" header="0.11811023622047245" footer="0.11811023622047245"/>
  <pageSetup paperSize="9" scale="82" fitToHeight="4" orientation="portrait" r:id="rId2"/>
  <headerFooter alignWithMargins="0">
    <oddFooter>&amp;LPág. &amp;P</oddFooter>
  </headerFooter>
  <rowBreaks count="4" manualBreakCount="4">
    <brk id="49" max="6" man="1"/>
    <brk id="89" max="6" man="1"/>
    <brk id="104" max="6" man="1"/>
    <brk id="137" max="6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showGridLines="0" topLeftCell="A10" zoomScale="130" zoomScaleNormal="130" zoomScaleSheetLayoutView="235" workbookViewId="0">
      <selection activeCell="G24" sqref="G24"/>
    </sheetView>
  </sheetViews>
  <sheetFormatPr defaultColWidth="9.140625" defaultRowHeight="11.25" x14ac:dyDescent="0.15"/>
  <cols>
    <col min="1" max="1" width="5.85546875" style="1" customWidth="1"/>
    <col min="2" max="2" width="12.85546875" style="59" customWidth="1"/>
    <col min="3" max="4" width="8.85546875" style="51" customWidth="1"/>
    <col min="5" max="5" width="13" style="51" customWidth="1"/>
    <col min="6" max="6" width="12.140625" style="51" customWidth="1"/>
    <col min="7" max="7" width="18.28515625" style="2" customWidth="1"/>
    <col min="8" max="8" width="3.28515625" style="1" hidden="1" customWidth="1"/>
    <col min="9" max="9" width="8" style="1" hidden="1" customWidth="1"/>
    <col min="10" max="10" width="9.7109375" style="1" customWidth="1"/>
    <col min="11" max="12" width="9.140625" style="1" customWidth="1"/>
    <col min="13" max="13" width="10.28515625" style="1" customWidth="1"/>
    <col min="14" max="14" width="9.140625" style="1" customWidth="1"/>
    <col min="15" max="16384" width="9.140625" style="1"/>
  </cols>
  <sheetData>
    <row r="1" spans="1:8" ht="12.75" x14ac:dyDescent="0.2">
      <c r="H1"/>
    </row>
    <row r="2" spans="1:8" ht="18" x14ac:dyDescent="0.25">
      <c r="A2" s="570"/>
      <c r="B2" s="570"/>
      <c r="C2" s="570"/>
      <c r="D2" s="570"/>
      <c r="E2" s="570"/>
      <c r="F2" s="570"/>
      <c r="G2" s="570"/>
    </row>
    <row r="3" spans="1:8" ht="14.25" x14ac:dyDescent="0.2">
      <c r="A3" s="571"/>
      <c r="B3" s="571"/>
      <c r="C3" s="571"/>
      <c r="D3" s="571"/>
      <c r="E3" s="571"/>
      <c r="F3" s="571"/>
      <c r="G3" s="571"/>
    </row>
    <row r="4" spans="1:8" x14ac:dyDescent="0.15">
      <c r="B4" s="56"/>
      <c r="C4" s="5"/>
      <c r="D4" s="5"/>
      <c r="E4" s="5"/>
      <c r="F4" s="5"/>
      <c r="G4" s="3"/>
    </row>
    <row r="5" spans="1:8" s="4" customFormat="1" ht="15.75" x14ac:dyDescent="0.15">
      <c r="A5" s="572" t="s">
        <v>1</v>
      </c>
      <c r="B5" s="572"/>
      <c r="C5" s="572"/>
      <c r="D5" s="572"/>
      <c r="E5" s="572"/>
      <c r="F5" s="572"/>
      <c r="G5" s="572"/>
      <c r="H5" s="65"/>
    </row>
    <row r="6" spans="1:8" s="4" customFormat="1" ht="12.75" x14ac:dyDescent="0.15">
      <c r="A6" s="572" t="s">
        <v>293</v>
      </c>
      <c r="B6" s="572"/>
      <c r="C6" s="572"/>
      <c r="D6" s="572"/>
      <c r="E6" s="572"/>
      <c r="F6" s="572"/>
      <c r="G6" s="572"/>
    </row>
    <row r="7" spans="1:8" s="4" customFormat="1" ht="12.75" x14ac:dyDescent="0.15">
      <c r="A7" s="450"/>
      <c r="B7" s="450"/>
      <c r="C7" s="450"/>
      <c r="D7" s="450"/>
      <c r="E7" s="450"/>
      <c r="F7" s="450"/>
      <c r="G7" s="450"/>
    </row>
    <row r="8" spans="1:8" s="89" customFormat="1" ht="18" customHeight="1" x14ac:dyDescent="0.2">
      <c r="A8" s="228"/>
      <c r="B8" s="229"/>
      <c r="C8" s="228"/>
      <c r="D8" s="229"/>
      <c r="E8" s="124"/>
      <c r="F8" s="124"/>
      <c r="G8" s="88"/>
    </row>
    <row r="9" spans="1:8" s="89" customFormat="1" ht="18" customHeight="1" x14ac:dyDescent="0.2">
      <c r="A9" s="277" t="s">
        <v>266</v>
      </c>
      <c r="B9" s="229"/>
      <c r="C9" s="228"/>
      <c r="D9" s="229"/>
      <c r="E9" s="124"/>
      <c r="F9" s="124"/>
      <c r="G9" s="88"/>
    </row>
    <row r="10" spans="1:8" s="89" customFormat="1" ht="18" customHeight="1" x14ac:dyDescent="0.2">
      <c r="A10" s="452" t="s">
        <v>13</v>
      </c>
      <c r="B10" s="569" t="s">
        <v>200</v>
      </c>
      <c r="C10" s="569"/>
      <c r="D10" s="569"/>
      <c r="E10" s="569"/>
      <c r="F10" s="250" t="str">
        <f>PARAMETROS!C25</f>
        <v>Não</v>
      </c>
      <c r="G10" s="88"/>
    </row>
    <row r="11" spans="1:8" s="89" customFormat="1" ht="18" customHeight="1" x14ac:dyDescent="0.2">
      <c r="A11" s="452" t="s">
        <v>15</v>
      </c>
      <c r="B11" s="569" t="s">
        <v>227</v>
      </c>
      <c r="C11" s="569"/>
      <c r="D11" s="569"/>
      <c r="E11" s="569"/>
      <c r="F11" s="250" t="str">
        <f>PARAMETROS!C29</f>
        <v>Normal</v>
      </c>
      <c r="G11" s="88"/>
    </row>
    <row r="12" spans="1:8" s="89" customFormat="1" ht="18" customHeight="1" x14ac:dyDescent="0.2">
      <c r="A12" s="230"/>
      <c r="B12" s="232"/>
      <c r="C12" s="232"/>
      <c r="D12" s="232"/>
      <c r="E12" s="232"/>
      <c r="F12" s="124"/>
      <c r="G12" s="88"/>
    </row>
    <row r="13" spans="1:8" s="89" customFormat="1" ht="18" customHeight="1" x14ac:dyDescent="0.2">
      <c r="A13" s="277" t="s">
        <v>64</v>
      </c>
      <c r="B13" s="229"/>
      <c r="C13" s="228"/>
      <c r="D13" s="229"/>
      <c r="E13" s="124"/>
      <c r="F13" s="124"/>
      <c r="G13" s="88"/>
    </row>
    <row r="14" spans="1:8" s="89" customFormat="1" ht="32.450000000000003" customHeight="1" x14ac:dyDescent="0.2">
      <c r="A14" s="630" t="s">
        <v>65</v>
      </c>
      <c r="B14" s="630"/>
      <c r="C14" s="362" t="s">
        <v>66</v>
      </c>
      <c r="D14" s="452" t="s">
        <v>228</v>
      </c>
      <c r="E14" s="630" t="s">
        <v>67</v>
      </c>
      <c r="F14" s="630"/>
      <c r="G14" s="88"/>
    </row>
    <row r="15" spans="1:8" s="89" customFormat="1" ht="18" customHeight="1" x14ac:dyDescent="0.2">
      <c r="A15" s="628" t="str">
        <f>A6</f>
        <v>DESENVOLVEDOR FULL STACK (Programador de sistemas de informação)</v>
      </c>
      <c r="B15" s="628"/>
      <c r="C15" s="453" t="s">
        <v>294</v>
      </c>
      <c r="D15" s="453">
        <v>1</v>
      </c>
      <c r="E15" s="629">
        <v>1</v>
      </c>
      <c r="F15" s="629"/>
      <c r="G15" s="88"/>
    </row>
    <row r="16" spans="1:8" s="89" customFormat="1" ht="18" customHeight="1" x14ac:dyDescent="0.2">
      <c r="A16" s="628"/>
      <c r="B16" s="628"/>
      <c r="C16" s="363"/>
      <c r="D16" s="363"/>
      <c r="E16" s="629"/>
      <c r="F16" s="629"/>
      <c r="G16" s="88"/>
    </row>
    <row r="17" spans="1:9" s="89" customFormat="1" ht="18" customHeight="1" x14ac:dyDescent="0.2">
      <c r="A17" s="628"/>
      <c r="B17" s="628"/>
      <c r="C17" s="363"/>
      <c r="D17" s="363"/>
      <c r="E17" s="629"/>
      <c r="F17" s="629"/>
      <c r="G17" s="88"/>
    </row>
    <row r="18" spans="1:9" s="89" customFormat="1" ht="18" customHeight="1" x14ac:dyDescent="0.2">
      <c r="A18" s="123"/>
      <c r="B18" s="86"/>
      <c r="C18" s="86"/>
      <c r="D18" s="124"/>
      <c r="E18" s="124"/>
      <c r="F18" s="124"/>
      <c r="G18" s="88"/>
    </row>
    <row r="19" spans="1:9" s="89" customFormat="1" ht="18" customHeight="1" x14ac:dyDescent="0.2">
      <c r="A19" s="276" t="s">
        <v>193</v>
      </c>
      <c r="B19" s="86"/>
      <c r="C19" s="86"/>
      <c r="D19" s="124"/>
      <c r="E19" s="124"/>
      <c r="F19" s="124"/>
      <c r="G19" s="88"/>
    </row>
    <row r="20" spans="1:9" s="89" customFormat="1" ht="18" customHeight="1" x14ac:dyDescent="0.2">
      <c r="A20" s="123" t="s">
        <v>194</v>
      </c>
      <c r="B20" s="86"/>
      <c r="C20" s="86"/>
      <c r="D20" s="124"/>
      <c r="E20" s="124"/>
      <c r="F20" s="124"/>
      <c r="G20" s="88"/>
    </row>
    <row r="21" spans="1:9" s="89" customFormat="1" ht="18" customHeight="1" x14ac:dyDescent="0.2">
      <c r="A21" s="90" t="s">
        <v>195</v>
      </c>
      <c r="B21" s="86"/>
      <c r="C21" s="86"/>
      <c r="D21" s="87"/>
      <c r="E21" s="87"/>
      <c r="F21" s="87"/>
      <c r="G21" s="88"/>
    </row>
    <row r="22" spans="1:9" s="7" customFormat="1" ht="24" customHeight="1" x14ac:dyDescent="0.2">
      <c r="A22" s="508" t="s">
        <v>216</v>
      </c>
      <c r="B22" s="509"/>
      <c r="C22" s="509"/>
      <c r="D22" s="509"/>
      <c r="E22" s="509"/>
      <c r="F22" s="510"/>
      <c r="G22" s="67" t="str">
        <f>A6</f>
        <v>DESENVOLVEDOR FULL STACK (Programador de sistemas de informação)</v>
      </c>
    </row>
    <row r="23" spans="1:9" s="7" customFormat="1" ht="18" customHeight="1" x14ac:dyDescent="0.2">
      <c r="A23" s="178">
        <v>1</v>
      </c>
      <c r="B23" s="546" t="s">
        <v>71</v>
      </c>
      <c r="C23" s="546"/>
      <c r="D23" s="546"/>
      <c r="E23" s="546"/>
      <c r="F23" s="546"/>
      <c r="G23" s="189" t="str">
        <f>A15</f>
        <v>DESENVOLVEDOR FULL STACK (Programador de sistemas de informação)</v>
      </c>
    </row>
    <row r="24" spans="1:9" s="7" customFormat="1" ht="25.5" customHeight="1" x14ac:dyDescent="0.2">
      <c r="A24" s="178">
        <v>2</v>
      </c>
      <c r="B24" s="563" t="s">
        <v>201</v>
      </c>
      <c r="C24" s="564"/>
      <c r="D24" s="564"/>
      <c r="E24" s="564"/>
      <c r="F24" s="565"/>
      <c r="G24" s="119"/>
    </row>
    <row r="25" spans="1:9" s="7" customFormat="1" ht="18" customHeight="1" x14ac:dyDescent="0.2">
      <c r="A25" s="178">
        <f t="shared" ref="A25:A28" si="0">A24+1</f>
        <v>3</v>
      </c>
      <c r="B25" s="546" t="s">
        <v>74</v>
      </c>
      <c r="C25" s="546"/>
      <c r="D25" s="546"/>
      <c r="E25" s="546"/>
      <c r="F25" s="546"/>
      <c r="G25" s="189" t="str">
        <f>A15</f>
        <v>DESENVOLVEDOR FULL STACK (Programador de sistemas de informação)</v>
      </c>
    </row>
    <row r="26" spans="1:9" s="7" customFormat="1" ht="18" customHeight="1" x14ac:dyDescent="0.2">
      <c r="A26" s="178">
        <f t="shared" si="0"/>
        <v>4</v>
      </c>
      <c r="B26" s="546" t="s">
        <v>75</v>
      </c>
      <c r="C26" s="546"/>
      <c r="D26" s="546"/>
      <c r="E26" s="546"/>
      <c r="F26" s="546"/>
      <c r="G26" s="188">
        <v>44197</v>
      </c>
    </row>
    <row r="27" spans="1:9" s="7" customFormat="1" ht="18" customHeight="1" x14ac:dyDescent="0.2">
      <c r="A27" s="218">
        <f t="shared" si="0"/>
        <v>5</v>
      </c>
      <c r="B27" s="547" t="s">
        <v>76</v>
      </c>
      <c r="C27" s="547"/>
      <c r="D27" s="547"/>
      <c r="E27" s="547"/>
      <c r="F27" s="548"/>
      <c r="G27" s="233">
        <f>PARAMETROS!C23</f>
        <v>1212</v>
      </c>
    </row>
    <row r="28" spans="1:9" s="213" customFormat="1" ht="10.5" x14ac:dyDescent="0.2">
      <c r="A28" s="549">
        <f t="shared" si="0"/>
        <v>6</v>
      </c>
      <c r="B28" s="551" t="s">
        <v>77</v>
      </c>
      <c r="C28" s="552"/>
      <c r="D28" s="551" t="s">
        <v>223</v>
      </c>
      <c r="E28" s="552"/>
      <c r="F28" s="225" t="s">
        <v>215</v>
      </c>
      <c r="G28" s="212" t="s">
        <v>80</v>
      </c>
      <c r="I28" s="213" t="s">
        <v>81</v>
      </c>
    </row>
    <row r="29" spans="1:9" s="213" customFormat="1" ht="18.75" customHeight="1" x14ac:dyDescent="0.2">
      <c r="A29" s="550"/>
      <c r="B29" s="631">
        <f>PARAMETROS!C26</f>
        <v>0</v>
      </c>
      <c r="C29" s="632"/>
      <c r="D29" s="555">
        <f>IF(F11="12x36",0.03,0.06)</f>
        <v>0.06</v>
      </c>
      <c r="E29" s="556"/>
      <c r="F29" s="303">
        <f>PARAMETROS!C81</f>
        <v>20.92</v>
      </c>
      <c r="G29" s="443">
        <v>2</v>
      </c>
      <c r="H29" s="215" t="s">
        <v>82</v>
      </c>
      <c r="I29" s="213" t="s">
        <v>83</v>
      </c>
    </row>
    <row r="30" spans="1:9" s="7" customFormat="1" ht="18" customHeight="1" x14ac:dyDescent="0.2">
      <c r="A30" s="218">
        <f>A28+1</f>
        <v>7</v>
      </c>
      <c r="B30" s="557" t="s">
        <v>84</v>
      </c>
      <c r="C30" s="558"/>
      <c r="D30" s="219">
        <v>30</v>
      </c>
      <c r="E30" s="559" t="s">
        <v>85</v>
      </c>
      <c r="F30" s="560"/>
      <c r="G30" s="234">
        <f>ROUND(D30/6*30,0)</f>
        <v>150</v>
      </c>
    </row>
    <row r="31" spans="1:9" s="7" customFormat="1" ht="10.5" x14ac:dyDescent="0.2">
      <c r="A31" s="318"/>
      <c r="B31" s="321" t="s">
        <v>86</v>
      </c>
      <c r="C31" s="322"/>
      <c r="D31" s="323"/>
      <c r="E31" s="323"/>
      <c r="F31" s="324"/>
      <c r="G31" s="325"/>
      <c r="H31" s="209"/>
    </row>
    <row r="32" spans="1:9" s="7" customFormat="1" ht="10.5" x14ac:dyDescent="0.2">
      <c r="A32" s="326"/>
      <c r="B32" s="220" t="s">
        <v>87</v>
      </c>
      <c r="C32" s="208"/>
      <c r="D32" s="210"/>
      <c r="E32" s="210"/>
      <c r="F32" s="293"/>
      <c r="G32" s="327"/>
      <c r="H32" s="209"/>
    </row>
    <row r="33" spans="1:14" s="7" customFormat="1" ht="9" customHeight="1" x14ac:dyDescent="0.2">
      <c r="A33" s="122"/>
      <c r="B33" s="296"/>
      <c r="C33" s="447"/>
      <c r="D33" s="447"/>
      <c r="E33" s="447"/>
      <c r="F33" s="447"/>
      <c r="G33" s="117"/>
    </row>
    <row r="34" spans="1:14" s="89" customFormat="1" ht="30" customHeight="1" thickBot="1" x14ac:dyDescent="0.25">
      <c r="A34" s="614" t="s">
        <v>196</v>
      </c>
      <c r="B34" s="614"/>
      <c r="C34" s="614"/>
      <c r="D34" s="614"/>
      <c r="E34" s="615"/>
      <c r="F34" s="614"/>
      <c r="G34" s="614"/>
    </row>
    <row r="35" spans="1:14" s="7" customFormat="1" ht="18" customHeight="1" thickTop="1" thickBot="1" x14ac:dyDescent="0.25">
      <c r="A35" s="6" t="s">
        <v>10</v>
      </c>
      <c r="B35" s="62" t="s">
        <v>90</v>
      </c>
      <c r="C35" s="285"/>
      <c r="D35" s="285"/>
      <c r="E35" s="421" t="str">
        <f>"Regime: "&amp;F11</f>
        <v>Regime: Normal</v>
      </c>
      <c r="F35" s="19" t="s">
        <v>12</v>
      </c>
      <c r="G35" s="60" t="s">
        <v>47</v>
      </c>
    </row>
    <row r="36" spans="1:14" s="7" customFormat="1" ht="18" customHeight="1" thickTop="1" x14ac:dyDescent="0.2">
      <c r="A36" s="401" t="s">
        <v>13</v>
      </c>
      <c r="B36" s="616" t="s">
        <v>91</v>
      </c>
      <c r="C36" s="617"/>
      <c r="D36" s="617"/>
      <c r="E36" s="618"/>
      <c r="F36" s="402" t="s">
        <v>0</v>
      </c>
      <c r="G36" s="403">
        <f>G24</f>
        <v>0</v>
      </c>
    </row>
    <row r="37" spans="1:14" s="7" customFormat="1" ht="18" customHeight="1" x14ac:dyDescent="0.2">
      <c r="A37" s="350" t="s">
        <v>15</v>
      </c>
      <c r="B37" s="404" t="s">
        <v>92</v>
      </c>
      <c r="C37" s="405"/>
      <c r="D37" s="406" t="s">
        <v>238</v>
      </c>
      <c r="E37" s="406"/>
      <c r="F37" s="359" t="s">
        <v>8</v>
      </c>
      <c r="G37" s="353">
        <f>IF(F37="Sim",ROUND($G$36*MID(D37,17,2)/100,2),0)</f>
        <v>0</v>
      </c>
    </row>
    <row r="38" spans="1:14" s="7" customFormat="1" ht="18" customHeight="1" x14ac:dyDescent="0.2">
      <c r="A38" s="350" t="s">
        <v>17</v>
      </c>
      <c r="B38" s="404" t="s">
        <v>236</v>
      </c>
      <c r="C38" s="407"/>
      <c r="D38" s="406" t="s">
        <v>237</v>
      </c>
      <c r="E38" s="407"/>
      <c r="F38" s="408"/>
      <c r="G38" s="353">
        <f>ROUND($G$27*$F38,2)</f>
        <v>0</v>
      </c>
      <c r="N38" s="393"/>
    </row>
    <row r="39" spans="1:14" s="7" customFormat="1" ht="18" customHeight="1" x14ac:dyDescent="0.2">
      <c r="A39" s="350" t="s">
        <v>19</v>
      </c>
      <c r="B39" s="460" t="s">
        <v>257</v>
      </c>
      <c r="C39" s="418" t="s">
        <v>8</v>
      </c>
      <c r="D39" s="416" t="str">
        <f>IF(F39&gt;0,"("&amp;INT(F39)&amp;"h "&amp;ROUND((F39-INT(F39))*60,0)&amp;"min)=","")</f>
        <v/>
      </c>
      <c r="E39" s="420" t="str">
        <f>IF(F39&gt;0,"Quant. Horas 
normais (decimais) =","")</f>
        <v/>
      </c>
      <c r="F39" s="410"/>
      <c r="G39" s="411">
        <f>IF(AND(F11="12X36",C39="Sim"),ROUND(SUM(G36:G38)*(7/12)*0.2,2),ROUND((SUM(G36:G38)/G30)*0.2*F39,2))</f>
        <v>0</v>
      </c>
      <c r="M39" s="419"/>
      <c r="N39" s="393"/>
    </row>
    <row r="40" spans="1:14" s="7" customFormat="1" ht="18" customHeight="1" x14ac:dyDescent="0.2">
      <c r="A40" s="350" t="s">
        <v>21</v>
      </c>
      <c r="B40" s="414" t="s">
        <v>254</v>
      </c>
      <c r="C40" s="409"/>
      <c r="D40" s="412" t="str">
        <f>IF(F40&gt;0,"("&amp;INT(F40)&amp;"h "&amp;ROUND((F40-INT(F40))*60,0)&amp;"min)=","")</f>
        <v/>
      </c>
      <c r="E40" s="420" t="str">
        <f>IF(F40&gt;0,"Quant. Horas 
reduzidas (decimais)=","")</f>
        <v/>
      </c>
      <c r="F40" s="417">
        <f>IF(F39&gt;0,ROUND(((F39)*(8/7))-(F39),2),0)</f>
        <v>0</v>
      </c>
      <c r="G40" s="411">
        <f>ROUND((SUM(G36:G38)/G30)*0.2*F40,2)</f>
        <v>0</v>
      </c>
      <c r="M40" s="68"/>
      <c r="N40" s="394"/>
    </row>
    <row r="41" spans="1:14" s="7" customFormat="1" ht="18" customHeight="1" x14ac:dyDescent="0.2">
      <c r="A41" s="350" t="s">
        <v>23</v>
      </c>
      <c r="B41" s="619" t="s">
        <v>197</v>
      </c>
      <c r="C41" s="620"/>
      <c r="D41" s="620"/>
      <c r="E41" s="413"/>
      <c r="F41" s="351">
        <f>IF(ISNUMBER(E41),50%,0)</f>
        <v>0</v>
      </c>
      <c r="G41" s="352">
        <f>ROUND(SUM(G36:G40)/G30*1.5*E41,2)</f>
        <v>0</v>
      </c>
      <c r="M41" s="68"/>
      <c r="N41" s="394"/>
    </row>
    <row r="42" spans="1:14" s="7" customFormat="1" ht="18" customHeight="1" x14ac:dyDescent="0.2">
      <c r="A42" s="350"/>
      <c r="B42" s="625" t="s">
        <v>173</v>
      </c>
      <c r="C42" s="626"/>
      <c r="D42" s="626"/>
      <c r="E42" s="626"/>
      <c r="F42" s="351"/>
      <c r="G42" s="352">
        <f>SUM(G36:G41)</f>
        <v>0</v>
      </c>
    </row>
    <row r="43" spans="1:14" s="7" customFormat="1" ht="21.6" customHeight="1" x14ac:dyDescent="0.2">
      <c r="A43" s="360" t="s">
        <v>25</v>
      </c>
      <c r="B43" s="619" t="s">
        <v>229</v>
      </c>
      <c r="C43" s="620"/>
      <c r="D43" s="620"/>
      <c r="E43" s="620"/>
      <c r="F43" s="359" t="s">
        <v>8</v>
      </c>
      <c r="G43" s="353">
        <f>IF(F43="Sim",ROUND(SUM(G36:G38)/G30*1.5*F29,2),0)</f>
        <v>0</v>
      </c>
    </row>
    <row r="44" spans="1:14" s="7" customFormat="1" ht="21.6" customHeight="1" x14ac:dyDescent="0.2">
      <c r="A44" s="354" t="s">
        <v>27</v>
      </c>
      <c r="B44" s="355" t="s">
        <v>51</v>
      </c>
      <c r="C44" s="356"/>
      <c r="D44" s="356"/>
      <c r="E44" s="356"/>
      <c r="F44" s="357"/>
      <c r="G44" s="358"/>
    </row>
    <row r="45" spans="1:14" s="7" customFormat="1" ht="18" customHeight="1" x14ac:dyDescent="0.2">
      <c r="A45" s="13"/>
      <c r="B45" s="23" t="s">
        <v>29</v>
      </c>
      <c r="C45" s="52"/>
      <c r="D45" s="52"/>
      <c r="E45" s="52"/>
      <c r="F45" s="24"/>
      <c r="G45" s="160">
        <f>SUM(G42:G44)</f>
        <v>0</v>
      </c>
    </row>
    <row r="46" spans="1:14" x14ac:dyDescent="0.15">
      <c r="A46" s="531" t="s">
        <v>30</v>
      </c>
      <c r="B46" s="513"/>
      <c r="C46" s="513"/>
      <c r="D46" s="513"/>
      <c r="E46" s="513"/>
      <c r="F46" s="513"/>
      <c r="G46" s="532"/>
    </row>
    <row r="47" spans="1:14" s="116" customFormat="1" ht="9" x14ac:dyDescent="0.15">
      <c r="A47" s="348"/>
      <c r="B47" s="361"/>
      <c r="C47" s="348"/>
      <c r="D47" s="348"/>
      <c r="E47" s="348"/>
      <c r="F47" s="348"/>
      <c r="G47" s="348"/>
    </row>
    <row r="48" spans="1:14" s="18" customFormat="1" ht="18" customHeight="1" x14ac:dyDescent="0.15">
      <c r="A48" s="15"/>
      <c r="B48" s="57"/>
      <c r="C48" s="16"/>
      <c r="D48" s="16"/>
      <c r="E48" s="16"/>
      <c r="F48" s="16"/>
      <c r="G48" s="17"/>
    </row>
    <row r="49" spans="1:16" s="89" customFormat="1" ht="25.5" customHeight="1" x14ac:dyDescent="0.2">
      <c r="A49" s="614" t="s">
        <v>207</v>
      </c>
      <c r="B49" s="614"/>
      <c r="C49" s="614"/>
      <c r="D49" s="614"/>
      <c r="E49" s="614"/>
      <c r="F49" s="614"/>
      <c r="G49" s="614"/>
    </row>
    <row r="50" spans="1:16" s="18" customFormat="1" ht="25.5" customHeight="1" x14ac:dyDescent="0.15">
      <c r="A50" s="29" t="s">
        <v>98</v>
      </c>
      <c r="B50" s="517" t="s">
        <v>99</v>
      </c>
      <c r="C50" s="517"/>
      <c r="D50" s="623" t="str">
        <f>"Conta Vinculada? "&amp;PARAMETROS!$C$27</f>
        <v>Conta Vinculada? Sim</v>
      </c>
      <c r="E50" s="624"/>
      <c r="F50" s="19" t="s">
        <v>12</v>
      </c>
      <c r="G50" s="60" t="s">
        <v>47</v>
      </c>
    </row>
    <row r="51" spans="1:16" s="18" customFormat="1" ht="18" customHeight="1" x14ac:dyDescent="0.15">
      <c r="A51" s="8" t="s">
        <v>13</v>
      </c>
      <c r="B51" s="448" t="s">
        <v>222</v>
      </c>
      <c r="C51" s="339" t="s">
        <v>255</v>
      </c>
      <c r="D51" s="449"/>
      <c r="E51" s="449"/>
      <c r="F51" s="53">
        <f>1/12</f>
        <v>8.3333333333333329E-2</v>
      </c>
      <c r="G51" s="32">
        <f>ROUND($G$42*F51,2)</f>
        <v>0</v>
      </c>
      <c r="K51" s="64"/>
      <c r="N51" s="64"/>
      <c r="O51" s="64"/>
      <c r="P51" s="64"/>
    </row>
    <row r="52" spans="1:16" s="18" customFormat="1" ht="18" customHeight="1" x14ac:dyDescent="0.15">
      <c r="A52" s="299" t="s">
        <v>15</v>
      </c>
      <c r="B52" s="621" t="s">
        <v>206</v>
      </c>
      <c r="C52" s="622"/>
      <c r="D52" s="347" t="s">
        <v>199</v>
      </c>
      <c r="E52" s="346" t="str">
        <f>$F$10</f>
        <v>Não</v>
      </c>
      <c r="F52" s="367" t="str">
        <f>"Σ="&amp;FIXED(SUM(F53:F54)*100,2)&amp;"%"</f>
        <v>Σ=12,10%</v>
      </c>
      <c r="G52" s="368" t="str">
        <f>"Σ="&amp;FIXED(SUM(G53:G54),2)</f>
        <v>Σ=0,00</v>
      </c>
      <c r="O52" s="255"/>
    </row>
    <row r="53" spans="1:16" s="18" customFormat="1" ht="11.45" customHeight="1" x14ac:dyDescent="0.15">
      <c r="A53" s="10" t="s">
        <v>191</v>
      </c>
      <c r="B53" s="451" t="s">
        <v>204</v>
      </c>
      <c r="C53" s="302" t="str">
        <f>IF(RIGHT(D50,3)="Sim","(1÷11) =","(1÷12) =")</f>
        <v>(1÷11) =</v>
      </c>
      <c r="D53" s="297">
        <f>IF(E52="Sim","Prorrogado. Férias submódulo 4.1.A",IF(RIGHT(D50,3)="Sim",1/11,1/12))</f>
        <v>9.0909090909090912E-2</v>
      </c>
      <c r="E53" s="298"/>
      <c r="F53" s="312">
        <f>IF(E52="Sim",0,IF(RIGHT(D50,3)="Sim",0.09075,D53))</f>
        <v>9.0749999999999997E-2</v>
      </c>
      <c r="G53" s="33">
        <f>ROUND($G$42*F53,2)</f>
        <v>0</v>
      </c>
      <c r="N53" s="349"/>
      <c r="O53" s="255"/>
    </row>
    <row r="54" spans="1:16" s="18" customFormat="1" ht="11.45" customHeight="1" x14ac:dyDescent="0.15">
      <c r="A54" s="177" t="s">
        <v>192</v>
      </c>
      <c r="B54" s="300" t="s">
        <v>205</v>
      </c>
      <c r="C54" s="45"/>
      <c r="D54" s="302" t="str">
        <f>IF(RIGHT(D50,3)="Sim","(1÷3÷11) =","(1÷3÷12) =")</f>
        <v>(1÷3÷11) =</v>
      </c>
      <c r="E54" s="301">
        <f>IF(RIGHT(D50,3)="Sim",1/3/11,1/3/12)</f>
        <v>3.03030303030303E-2</v>
      </c>
      <c r="F54" s="313">
        <f>IF(RIGHT(D50,3)="Sim",0.03025,E54)</f>
        <v>3.0249999999999999E-2</v>
      </c>
      <c r="G54" s="33">
        <f>ROUND($G$42*E54,2)</f>
        <v>0</v>
      </c>
      <c r="K54" s="64"/>
      <c r="O54" s="255"/>
    </row>
    <row r="55" spans="1:16" s="237" customFormat="1" ht="18" customHeight="1" x14ac:dyDescent="0.15">
      <c r="A55" s="238"/>
      <c r="B55" s="239" t="s">
        <v>101</v>
      </c>
      <c r="C55" s="239"/>
      <c r="D55" s="239"/>
      <c r="E55" s="239"/>
      <c r="F55" s="240">
        <f>SUM(F51:F54)</f>
        <v>0.20433333333333331</v>
      </c>
      <c r="G55" s="241">
        <f>SUM(G51:G54)</f>
        <v>0</v>
      </c>
    </row>
    <row r="56" spans="1:16" s="18" customFormat="1" ht="16.149999999999999" customHeight="1" x14ac:dyDescent="0.15">
      <c r="A56" s="444"/>
      <c r="B56" s="444"/>
      <c r="C56" s="444"/>
      <c r="D56" s="444"/>
      <c r="E56" s="444"/>
      <c r="F56" s="444"/>
      <c r="G56" s="444"/>
    </row>
    <row r="57" spans="1:16" s="18" customFormat="1" ht="40.5" customHeight="1" x14ac:dyDescent="0.15">
      <c r="A57" s="28" t="s">
        <v>102</v>
      </c>
      <c r="B57" s="536" t="s">
        <v>256</v>
      </c>
      <c r="C57" s="536"/>
      <c r="D57" s="536"/>
      <c r="E57" s="536"/>
      <c r="F57" s="303" t="str">
        <f>"Optante do Simples? "&amp;PARAMETROS!C28</f>
        <v>Optante do Simples? Não</v>
      </c>
      <c r="G57" s="60" t="s">
        <v>47</v>
      </c>
      <c r="N57" s="349"/>
    </row>
    <row r="58" spans="1:16" s="18" customFormat="1" ht="18" customHeight="1" x14ac:dyDescent="0.15">
      <c r="A58" s="8" t="s">
        <v>13</v>
      </c>
      <c r="B58" s="448" t="s">
        <v>14</v>
      </c>
      <c r="C58" s="627" t="s">
        <v>200</v>
      </c>
      <c r="D58" s="627"/>
      <c r="E58" s="422" t="str">
        <f>$F$10</f>
        <v>Não</v>
      </c>
      <c r="F58" s="335">
        <f>PARAMETROS!C33</f>
        <v>0.2</v>
      </c>
      <c r="G58" s="33">
        <f t="shared" ref="G58:G65" si="1">IF($E$58="Não",ROUND(($G$42+$G$51)*SUM(F58),2),ROUND(($G$42+$G$51+$G$54)*SUM(F58),2))</f>
        <v>0</v>
      </c>
      <c r="M58" s="64"/>
      <c r="O58" s="64"/>
    </row>
    <row r="59" spans="1:16" s="18" customFormat="1" ht="18" customHeight="1" x14ac:dyDescent="0.15">
      <c r="A59" s="10" t="s">
        <v>15</v>
      </c>
      <c r="B59" s="446" t="s">
        <v>16</v>
      </c>
      <c r="C59" s="447"/>
      <c r="D59" s="320" t="s">
        <v>208</v>
      </c>
      <c r="E59" s="340" t="s">
        <v>221</v>
      </c>
      <c r="F59" s="336">
        <f>IF(RIGHT($F$57,3)="Sim","",PARAMETROS!C34)</f>
        <v>2.5000000000000001E-2</v>
      </c>
      <c r="G59" s="33">
        <f t="shared" si="1"/>
        <v>0</v>
      </c>
    </row>
    <row r="60" spans="1:16" s="18" customFormat="1" ht="18" customHeight="1" x14ac:dyDescent="0.15">
      <c r="A60" s="10" t="s">
        <v>17</v>
      </c>
      <c r="B60" s="446" t="s">
        <v>220</v>
      </c>
      <c r="C60" s="447"/>
      <c r="D60" s="341">
        <v>0.03</v>
      </c>
      <c r="E60" s="342">
        <v>0.01</v>
      </c>
      <c r="F60" s="336">
        <f>D60*E60*100</f>
        <v>0.03</v>
      </c>
      <c r="G60" s="33">
        <f t="shared" si="1"/>
        <v>0</v>
      </c>
    </row>
    <row r="61" spans="1:16" s="18" customFormat="1" ht="18" customHeight="1" x14ac:dyDescent="0.15">
      <c r="A61" s="10" t="s">
        <v>19</v>
      </c>
      <c r="B61" s="446" t="s">
        <v>20</v>
      </c>
      <c r="C61" s="447"/>
      <c r="D61" s="447"/>
      <c r="E61" s="447"/>
      <c r="F61" s="336">
        <f>IF(RIGHT($F$57,3)="Sim","",PARAMETROS!C36)</f>
        <v>1.4999999999999999E-2</v>
      </c>
      <c r="G61" s="33">
        <f t="shared" si="1"/>
        <v>0</v>
      </c>
    </row>
    <row r="62" spans="1:16" s="18" customFormat="1" ht="18" customHeight="1" x14ac:dyDescent="0.15">
      <c r="A62" s="10" t="s">
        <v>21</v>
      </c>
      <c r="B62" s="446" t="s">
        <v>22</v>
      </c>
      <c r="E62" s="447"/>
      <c r="F62" s="336">
        <f>IF(RIGHT($F$57,3)="Sim","",PARAMETROS!C37)</f>
        <v>0.01</v>
      </c>
      <c r="G62" s="33">
        <f t="shared" si="1"/>
        <v>0</v>
      </c>
    </row>
    <row r="63" spans="1:16" s="18" customFormat="1" ht="18" customHeight="1" x14ac:dyDescent="0.15">
      <c r="A63" s="10" t="s">
        <v>23</v>
      </c>
      <c r="B63" s="446" t="s">
        <v>24</v>
      </c>
      <c r="C63" s="447"/>
      <c r="D63" s="447"/>
      <c r="E63" s="447"/>
      <c r="F63" s="336">
        <f>IF(RIGHT($F$57,3)="Sim","",PARAMETROS!C38)</f>
        <v>6.0000000000000001E-3</v>
      </c>
      <c r="G63" s="33">
        <f t="shared" si="1"/>
        <v>0</v>
      </c>
    </row>
    <row r="64" spans="1:16" s="18" customFormat="1" ht="18" customHeight="1" x14ac:dyDescent="0.15">
      <c r="A64" s="10" t="s">
        <v>25</v>
      </c>
      <c r="B64" s="446" t="s">
        <v>26</v>
      </c>
      <c r="C64" s="447"/>
      <c r="D64" s="447"/>
      <c r="E64" s="447"/>
      <c r="F64" s="336">
        <f>IF(RIGHT($F$57,3)="Sim","",PARAMETROS!C39)</f>
        <v>2E-3</v>
      </c>
      <c r="G64" s="33">
        <f t="shared" si="1"/>
        <v>0</v>
      </c>
    </row>
    <row r="65" spans="1:15" s="18" customFormat="1" ht="18" customHeight="1" x14ac:dyDescent="0.15">
      <c r="A65" s="177" t="s">
        <v>27</v>
      </c>
      <c r="B65" s="273" t="s">
        <v>28</v>
      </c>
      <c r="C65" s="274"/>
      <c r="D65" s="274"/>
      <c r="E65" s="274"/>
      <c r="F65" s="337">
        <f>PARAMETROS!C40</f>
        <v>0.08</v>
      </c>
      <c r="G65" s="33">
        <f t="shared" si="1"/>
        <v>0</v>
      </c>
    </row>
    <row r="66" spans="1:15" s="18" customFormat="1" ht="18" customHeight="1" x14ac:dyDescent="0.15">
      <c r="A66" s="318"/>
      <c r="B66" s="320" t="s">
        <v>101</v>
      </c>
      <c r="C66" s="319"/>
      <c r="D66" s="319"/>
      <c r="E66" s="319"/>
      <c r="F66" s="338">
        <f>SUM(F58:F65)</f>
        <v>0.36800000000000005</v>
      </c>
      <c r="G66" s="9">
        <f>SUM(G58:G65)</f>
        <v>0</v>
      </c>
    </row>
    <row r="67" spans="1:15" s="18" customFormat="1" ht="15" customHeight="1" x14ac:dyDescent="0.15">
      <c r="E67" s="364"/>
    </row>
    <row r="68" spans="1:15" s="18" customFormat="1" ht="25.5" customHeight="1" x14ac:dyDescent="0.15">
      <c r="A68" s="29" t="s">
        <v>32</v>
      </c>
      <c r="B68" s="509" t="s">
        <v>104</v>
      </c>
      <c r="C68" s="509"/>
      <c r="D68" s="509"/>
      <c r="E68" s="509"/>
      <c r="F68" s="303" t="s">
        <v>232</v>
      </c>
      <c r="G68" s="60" t="s">
        <v>47</v>
      </c>
      <c r="N68" s="364"/>
    </row>
    <row r="69" spans="1:15" s="7" customFormat="1" ht="30" customHeight="1" x14ac:dyDescent="0.2">
      <c r="A69" s="401" t="s">
        <v>13</v>
      </c>
      <c r="B69" s="604" t="s">
        <v>230</v>
      </c>
      <c r="C69" s="605"/>
      <c r="D69" s="605"/>
      <c r="E69" s="605"/>
      <c r="F69" s="454" t="s">
        <v>139</v>
      </c>
      <c r="G69" s="455">
        <f>ROUND(IF((G24*D29)&gt;(B29*F29*G29),B29*F29*G29,(B29*F29*G29)-(G24*D29)),2)</f>
        <v>0</v>
      </c>
      <c r="H69" s="68" t="s">
        <v>106</v>
      </c>
      <c r="I69" s="68"/>
      <c r="N69" s="365"/>
    </row>
    <row r="70" spans="1:15" s="7" customFormat="1" ht="18" customHeight="1" x14ac:dyDescent="0.2">
      <c r="A70" s="350" t="s">
        <v>15</v>
      </c>
      <c r="B70" s="456" t="str">
        <f>PARAMETROS!B47</f>
        <v>Auxílio alimentação (Vales, cesta básica etc.) - 11ª</v>
      </c>
      <c r="C70" s="457"/>
      <c r="D70" s="457"/>
      <c r="E70" s="457"/>
      <c r="F70" s="458" t="s">
        <v>139</v>
      </c>
      <c r="G70" s="459">
        <f>PARAMETROS!C47</f>
        <v>0</v>
      </c>
      <c r="H70" s="68" t="s">
        <v>107</v>
      </c>
      <c r="I70" s="68">
        <f>B29*G29*22</f>
        <v>0</v>
      </c>
      <c r="K70" s="68"/>
      <c r="L70" s="68"/>
      <c r="O70" s="68"/>
    </row>
    <row r="71" spans="1:15" s="7" customFormat="1" ht="18" customHeight="1" x14ac:dyDescent="0.2">
      <c r="A71" s="350" t="s">
        <v>17</v>
      </c>
      <c r="B71" s="606" t="str">
        <f>PARAMETROS!B48</f>
        <v>Auxílio Morte/Funeral (1 sal.x3%÷12x3 = 0,0075) - 13ª</v>
      </c>
      <c r="C71" s="607"/>
      <c r="D71" s="607"/>
      <c r="E71" s="608"/>
      <c r="F71" s="458"/>
      <c r="G71" s="461">
        <f>ROUND(PARAMETROS!C48*G24,2)</f>
        <v>0</v>
      </c>
      <c r="H71" s="68" t="s">
        <v>108</v>
      </c>
      <c r="I71" s="68">
        <f>G24*0.06</f>
        <v>0</v>
      </c>
      <c r="J71" s="68"/>
    </row>
    <row r="72" spans="1:15" s="7" customFormat="1" ht="18" customHeight="1" x14ac:dyDescent="0.2">
      <c r="A72" s="350" t="s">
        <v>19</v>
      </c>
      <c r="B72" s="456" t="str">
        <f>PARAMETROS!B49</f>
        <v>Treinamento (Prog. Qual. Trabalhador) - 21ª</v>
      </c>
      <c r="C72" s="457"/>
      <c r="D72" s="457"/>
      <c r="E72" s="457"/>
      <c r="F72" s="458"/>
      <c r="G72" s="459">
        <f>PARAMETROS!C49</f>
        <v>0</v>
      </c>
    </row>
    <row r="73" spans="1:15" s="7" customFormat="1" ht="18" customHeight="1" x14ac:dyDescent="0.2">
      <c r="A73" s="350" t="s">
        <v>21</v>
      </c>
      <c r="B73" s="456" t="str">
        <f>PARAMETROS!B50</f>
        <v>EPI's (R$ 7,00) - 22ª</v>
      </c>
      <c r="C73" s="457"/>
      <c r="D73" s="457"/>
      <c r="E73" s="457"/>
      <c r="F73" s="458"/>
      <c r="G73" s="459">
        <f>PARAMETROS!C50</f>
        <v>0</v>
      </c>
    </row>
    <row r="74" spans="1:15" s="7" customFormat="1" ht="18" customHeight="1" x14ac:dyDescent="0.2">
      <c r="A74" s="350" t="s">
        <v>23</v>
      </c>
      <c r="B74" s="456" t="str">
        <f>PARAMETROS!B51</f>
        <v>Seguro de vida e acidente trabalho - 24ª</v>
      </c>
      <c r="C74" s="457"/>
      <c r="D74" s="457"/>
      <c r="E74" s="457"/>
      <c r="F74" s="458"/>
      <c r="G74" s="459">
        <f>PARAMETROS!C51</f>
        <v>0</v>
      </c>
    </row>
    <row r="75" spans="1:15" s="7" customFormat="1" ht="18" customHeight="1" x14ac:dyDescent="0.2">
      <c r="A75" s="350" t="s">
        <v>25</v>
      </c>
      <c r="B75" s="456" t="str">
        <f>PARAMETROS!B52</f>
        <v>PCMSO, PPRA e CIPA - 33ª</v>
      </c>
      <c r="C75" s="457"/>
      <c r="D75" s="457"/>
      <c r="E75" s="457"/>
      <c r="F75" s="458"/>
      <c r="G75" s="459">
        <f>PARAMETROS!C52</f>
        <v>0</v>
      </c>
    </row>
    <row r="76" spans="1:15" s="7" customFormat="1" ht="18" customHeight="1" x14ac:dyDescent="0.2">
      <c r="A76" s="350" t="s">
        <v>27</v>
      </c>
      <c r="B76" s="456" t="str">
        <f>PARAMETROS!B53</f>
        <v>Estojo primeiros socorros (R$ 4,00 por empregado) - 36ª</v>
      </c>
      <c r="C76" s="457"/>
      <c r="D76" s="457"/>
      <c r="E76" s="457"/>
      <c r="F76" s="458" t="s">
        <v>139</v>
      </c>
      <c r="G76" s="459">
        <f>PARAMETROS!C53</f>
        <v>0</v>
      </c>
    </row>
    <row r="77" spans="1:15" s="7" customFormat="1" ht="18" customHeight="1" x14ac:dyDescent="0.2">
      <c r="A77" s="354" t="s">
        <v>10</v>
      </c>
      <c r="B77" s="462" t="str">
        <f>PARAMETROS!B54</f>
        <v/>
      </c>
      <c r="C77" s="463"/>
      <c r="D77" s="463"/>
      <c r="E77" s="463"/>
      <c r="F77" s="464"/>
      <c r="G77" s="465">
        <f>PARAMETROS!C54</f>
        <v>0</v>
      </c>
    </row>
    <row r="78" spans="1:15" s="7" customFormat="1" ht="18" customHeight="1" x14ac:dyDescent="0.2">
      <c r="A78" s="150"/>
      <c r="B78" s="151" t="s">
        <v>29</v>
      </c>
      <c r="C78" s="152"/>
      <c r="D78" s="152"/>
      <c r="E78" s="152"/>
      <c r="F78" s="241">
        <f>SUMIF(F69:F77,"Sim",G69:G77)</f>
        <v>0</v>
      </c>
      <c r="G78" s="9">
        <f>SUM(G69:G77)</f>
        <v>0</v>
      </c>
    </row>
    <row r="79" spans="1:15" s="18" customFormat="1" ht="10.5" x14ac:dyDescent="0.15">
      <c r="A79" s="503" t="s">
        <v>43</v>
      </c>
      <c r="B79" s="487"/>
      <c r="C79" s="487"/>
      <c r="D79" s="487"/>
      <c r="E79" s="487"/>
      <c r="F79" s="487"/>
      <c r="G79" s="504"/>
    </row>
    <row r="80" spans="1:15" s="18" customFormat="1" ht="17.45" customHeight="1" x14ac:dyDescent="0.15">
      <c r="A80" s="599" t="s">
        <v>44</v>
      </c>
      <c r="B80" s="488"/>
      <c r="C80" s="488"/>
      <c r="D80" s="488"/>
      <c r="E80" s="488"/>
      <c r="F80" s="488"/>
      <c r="G80" s="600"/>
    </row>
    <row r="81" spans="1:14" s="18" customFormat="1" ht="10.15" customHeight="1" x14ac:dyDescent="0.15">
      <c r="A81" s="609" t="s">
        <v>231</v>
      </c>
      <c r="B81" s="610"/>
      <c r="C81" s="610"/>
      <c r="D81" s="610"/>
      <c r="E81" s="610"/>
      <c r="F81" s="610"/>
      <c r="G81" s="611"/>
    </row>
    <row r="82" spans="1:14" s="18" customFormat="1" ht="24" customHeight="1" x14ac:dyDescent="0.15">
      <c r="A82" s="70"/>
      <c r="B82" s="70"/>
      <c r="C82" s="70"/>
      <c r="D82" s="70"/>
      <c r="E82" s="70"/>
      <c r="F82" s="70"/>
      <c r="G82" s="70"/>
    </row>
    <row r="83" spans="1:14" s="133" customFormat="1" ht="24" customHeight="1" x14ac:dyDescent="0.15">
      <c r="A83" s="195" t="s">
        <v>109</v>
      </c>
      <c r="B83" s="196"/>
      <c r="C83" s="197"/>
      <c r="D83" s="197"/>
      <c r="E83" s="197"/>
      <c r="F83" s="197"/>
      <c r="G83" s="198"/>
    </row>
    <row r="84" spans="1:14" s="134" customFormat="1" ht="24" customHeight="1" x14ac:dyDescent="0.15">
      <c r="A84" s="199">
        <v>2</v>
      </c>
      <c r="B84" s="200" t="s">
        <v>110</v>
      </c>
      <c r="C84" s="201"/>
      <c r="D84" s="201"/>
      <c r="E84" s="201"/>
      <c r="F84" s="201"/>
      <c r="G84" s="202"/>
    </row>
    <row r="85" spans="1:14" s="133" customFormat="1" ht="24" customHeight="1" x14ac:dyDescent="0.15">
      <c r="A85" s="178" t="s">
        <v>98</v>
      </c>
      <c r="B85" s="196" t="s">
        <v>111</v>
      </c>
      <c r="C85" s="197"/>
      <c r="D85" s="197"/>
      <c r="E85" s="197"/>
      <c r="F85" s="434"/>
      <c r="G85" s="203">
        <f>G55</f>
        <v>0</v>
      </c>
    </row>
    <row r="86" spans="1:14" s="133" customFormat="1" ht="24" customHeight="1" x14ac:dyDescent="0.15">
      <c r="A86" s="178" t="s">
        <v>102</v>
      </c>
      <c r="B86" s="196" t="s">
        <v>112</v>
      </c>
      <c r="C86" s="197"/>
      <c r="D86" s="197"/>
      <c r="E86" s="197"/>
      <c r="F86" s="434"/>
      <c r="G86" s="203">
        <f>G66</f>
        <v>0</v>
      </c>
    </row>
    <row r="87" spans="1:14" s="133" customFormat="1" ht="24" customHeight="1" x14ac:dyDescent="0.15">
      <c r="A87" s="178" t="s">
        <v>32</v>
      </c>
      <c r="B87" s="196" t="s">
        <v>113</v>
      </c>
      <c r="C87" s="197"/>
      <c r="D87" s="197"/>
      <c r="E87" s="197"/>
      <c r="F87" s="434"/>
      <c r="G87" s="203">
        <f>G78</f>
        <v>0</v>
      </c>
    </row>
    <row r="88" spans="1:14" s="133" customFormat="1" ht="18" customHeight="1" x14ac:dyDescent="0.15">
      <c r="A88" s="204"/>
      <c r="B88" s="205" t="s">
        <v>114</v>
      </c>
      <c r="C88" s="205"/>
      <c r="D88" s="206" t="s">
        <v>101</v>
      </c>
      <c r="E88" s="205"/>
      <c r="F88" s="435"/>
      <c r="G88" s="31">
        <f>SUM(G85:G87)</f>
        <v>0</v>
      </c>
    </row>
    <row r="89" spans="1:14" s="18" customFormat="1" ht="12.75" customHeight="1" x14ac:dyDescent="0.15">
      <c r="A89" s="25"/>
      <c r="B89" s="58"/>
      <c r="C89" s="26"/>
      <c r="D89" s="26"/>
      <c r="E89" s="26"/>
      <c r="F89" s="26"/>
      <c r="G89" s="27"/>
      <c r="N89" s="317"/>
    </row>
    <row r="90" spans="1:14" s="89" customFormat="1" ht="40.15" customHeight="1" x14ac:dyDescent="0.2">
      <c r="A90" s="612" t="s">
        <v>233</v>
      </c>
      <c r="B90" s="612"/>
      <c r="C90" s="612"/>
      <c r="D90" s="612"/>
      <c r="E90" s="612"/>
      <c r="F90" s="612"/>
      <c r="G90" s="612"/>
    </row>
    <row r="91" spans="1:14" s="18" customFormat="1" ht="28.9" customHeight="1" x14ac:dyDescent="0.15">
      <c r="A91" s="28">
        <v>3</v>
      </c>
      <c r="B91" s="517" t="str">
        <f>IF(F10="Sim","Submódulo - Provisão para Rescisão - PRORROGADO", "Submódulo - Provisão para Rescisão")</f>
        <v>Submódulo - Provisão para Rescisão</v>
      </c>
      <c r="C91" s="517"/>
      <c r="D91" s="517"/>
      <c r="E91" s="67" t="s">
        <v>117</v>
      </c>
      <c r="F91" s="155" t="s">
        <v>118</v>
      </c>
      <c r="G91" s="392" t="str">
        <f>PARAMETROS!B27&amp;" "&amp;PARAMETROS!C27</f>
        <v>Conta Vinculada? Sim</v>
      </c>
      <c r="K91" s="364"/>
    </row>
    <row r="92" spans="1:14" s="18" customFormat="1" ht="18" customHeight="1" x14ac:dyDescent="0.15">
      <c r="A92" s="601" t="s">
        <v>234</v>
      </c>
      <c r="B92" s="602"/>
      <c r="C92" s="602"/>
      <c r="D92" s="602"/>
      <c r="E92" s="603"/>
      <c r="F92" s="72">
        <v>0</v>
      </c>
      <c r="G92" s="391" t="s">
        <v>47</v>
      </c>
    </row>
    <row r="93" spans="1:14" s="18" customFormat="1" ht="31.9" customHeight="1" x14ac:dyDescent="0.15">
      <c r="A93" s="8" t="s">
        <v>13</v>
      </c>
      <c r="B93" s="518" t="str">
        <f>"Aviso prévio indenizado (probabilidade utilizada = "&amp;(F93*100)&amp;"%)."</f>
        <v>Aviso prévio indenizado (probabilidade utilizada = 5,55%).</v>
      </c>
      <c r="C93" s="519"/>
      <c r="D93" s="613"/>
      <c r="E93" s="343">
        <f>(((1+(1/12)+(1/12)+(1/12/3))*F93)+(((1/30)*3*1)*F92     ))/12</f>
        <v>5.524305555555554E-3</v>
      </c>
      <c r="F93" s="72">
        <v>5.5500000000000001E-2</v>
      </c>
      <c r="G93" s="32">
        <f>ROUND(((SUM(($G$42+($G$42/12)+($G$42/12)+($G$42/12/3)))*F93)+(($G$42/30*3*1)*F92))/12,2)</f>
        <v>0</v>
      </c>
      <c r="H93" s="66"/>
      <c r="I93" s="64"/>
      <c r="K93" s="256"/>
      <c r="M93" s="64"/>
      <c r="N93" s="64">
        <f>M93/12</f>
        <v>0</v>
      </c>
    </row>
    <row r="94" spans="1:14" s="18" customFormat="1" ht="37.9" customHeight="1" x14ac:dyDescent="0.15">
      <c r="A94" s="10" t="s">
        <v>15</v>
      </c>
      <c r="B94" s="496" t="s">
        <v>119</v>
      </c>
      <c r="C94" s="497"/>
      <c r="D94" s="585"/>
      <c r="E94" s="344">
        <f>(((1+(1/12))*F93)+(((1/30)*3*1)*F92    ))/12*F94</f>
        <v>4.0083333333333334E-4</v>
      </c>
      <c r="F94" s="53">
        <f>IF(F93&gt;0,F65,0)</f>
        <v>0.08</v>
      </c>
      <c r="G94" s="33">
        <f>ROUND(((SUM(G42+G51)*F93)+((G42/30)*3*1)*F92)/12*0.08,2)</f>
        <v>0</v>
      </c>
      <c r="H94" s="64"/>
      <c r="K94" s="256"/>
      <c r="L94" s="66"/>
      <c r="M94" s="437"/>
    </row>
    <row r="95" spans="1:14" s="18" customFormat="1" ht="18.75" customHeight="1" x14ac:dyDescent="0.15">
      <c r="A95" s="10" t="s">
        <v>17</v>
      </c>
      <c r="B95" s="496" t="s">
        <v>120</v>
      </c>
      <c r="C95" s="497"/>
      <c r="D95" s="585"/>
      <c r="E95" s="252"/>
      <c r="F95" s="53"/>
      <c r="G95" s="75" t="s">
        <v>0</v>
      </c>
      <c r="H95" s="66"/>
      <c r="L95" s="64"/>
      <c r="M95" s="66"/>
    </row>
    <row r="96" spans="1:14" s="18" customFormat="1" ht="10.5" x14ac:dyDescent="0.15">
      <c r="A96" s="74" t="s">
        <v>121</v>
      </c>
      <c r="B96" s="589" t="s">
        <v>122</v>
      </c>
      <c r="C96" s="590"/>
      <c r="D96" s="591"/>
      <c r="E96" s="254">
        <f>IF(RIGHT(G91,3)="Não",E94*F96,0.02)</f>
        <v>0.02</v>
      </c>
      <c r="F96" s="385">
        <f>IF(F93&gt;0,0.4,0)</f>
        <v>0.4</v>
      </c>
      <c r="G96" s="33">
        <f>IF(RIGHT(G91,3)="Não",ROUND(G94*F96,2),ROUND(G42*E96*F96,2))</f>
        <v>0</v>
      </c>
      <c r="H96" s="66"/>
      <c r="I96" s="64">
        <f>G98*10</f>
        <v>0</v>
      </c>
      <c r="K96" s="256"/>
      <c r="M96" s="64"/>
    </row>
    <row r="97" spans="1:15" s="18" customFormat="1" ht="21.6" hidden="1" customHeight="1" x14ac:dyDescent="0.15">
      <c r="A97" s="369" t="s">
        <v>123</v>
      </c>
      <c r="B97" s="592" t="s">
        <v>198</v>
      </c>
      <c r="C97" s="593"/>
      <c r="D97" s="370" t="s">
        <v>8</v>
      </c>
      <c r="E97" s="371">
        <f>E94*F97</f>
        <v>0</v>
      </c>
      <c r="F97" s="386">
        <f>IF(D97="Sim",10%,0)</f>
        <v>0</v>
      </c>
      <c r="G97" s="372">
        <f>ROUND($G$42*E97,2)</f>
        <v>0</v>
      </c>
      <c r="H97" s="64"/>
      <c r="K97" s="256"/>
      <c r="L97" s="255"/>
    </row>
    <row r="98" spans="1:15" s="18" customFormat="1" ht="29.25" customHeight="1" x14ac:dyDescent="0.15">
      <c r="A98" s="10" t="s">
        <v>19</v>
      </c>
      <c r="B98" s="522" t="str">
        <f>"Aviso prévio trabalhado (ocorrência = "&amp;(F98*100)&amp;"%) - "&amp;I98&amp;"(*)"</f>
        <v>Aviso prévio trabalhado (ocorrência = 100%) - 1º ANO DE CONTRATO(*)</v>
      </c>
      <c r="C98" s="523"/>
      <c r="D98" s="594"/>
      <c r="E98" s="388">
        <f>IF(F10="Não",1/30*7/12,1/30*3/12)</f>
        <v>1.9444444444444445E-2</v>
      </c>
      <c r="F98" s="387">
        <v>1</v>
      </c>
      <c r="G98" s="33">
        <f>ROUND(     (G$42+G78-F78)    *E98*F98,2)</f>
        <v>0</v>
      </c>
      <c r="H98" s="64"/>
      <c r="I98" s="18" t="str">
        <f>IF(PARAMETROS!C25="Sim", "APÓS PRORROGAÇÃO", "1º ANO DE CONTRATO")</f>
        <v>1º ANO DE CONTRATO</v>
      </c>
      <c r="K98" s="256"/>
      <c r="L98" s="64"/>
      <c r="M98" s="255"/>
    </row>
    <row r="99" spans="1:15" s="18" customFormat="1" ht="33.6" customHeight="1" x14ac:dyDescent="0.15">
      <c r="A99" s="10" t="s">
        <v>21</v>
      </c>
      <c r="B99" s="496" t="s">
        <v>217</v>
      </c>
      <c r="C99" s="497"/>
      <c r="D99" s="585"/>
      <c r="E99" s="253">
        <f>E98*F66</f>
        <v>7.1555555555555565E-3</v>
      </c>
      <c r="F99" s="53"/>
      <c r="G99" s="33">
        <f>ROUND(G$42 *E99*F98,2)</f>
        <v>0</v>
      </c>
      <c r="H99" s="66"/>
      <c r="I99" s="64"/>
      <c r="K99" s="256"/>
      <c r="L99" s="317"/>
      <c r="M99" s="115"/>
    </row>
    <row r="100" spans="1:15" s="18" customFormat="1" ht="20.45" customHeight="1" x14ac:dyDescent="0.15">
      <c r="A100" s="10" t="s">
        <v>23</v>
      </c>
      <c r="B100" s="522" t="s">
        <v>235</v>
      </c>
      <c r="C100" s="523"/>
      <c r="D100" s="594"/>
      <c r="E100" s="251"/>
      <c r="F100" s="53"/>
      <c r="G100" s="75" t="s">
        <v>0</v>
      </c>
      <c r="I100" s="115"/>
      <c r="M100" s="64"/>
    </row>
    <row r="101" spans="1:15" s="18" customFormat="1" ht="10.5" x14ac:dyDescent="0.15">
      <c r="A101" s="74" t="s">
        <v>127</v>
      </c>
      <c r="B101" s="589" t="s">
        <v>122</v>
      </c>
      <c r="C101" s="590"/>
      <c r="D101" s="591"/>
      <c r="E101" s="385">
        <f>IF(RIGHT(G91,3)="Não", E98*F65*F101,0.02)</f>
        <v>0.02</v>
      </c>
      <c r="F101" s="53">
        <f>IF(F98&gt;0,40%,0)</f>
        <v>0.4</v>
      </c>
      <c r="G101" s="389">
        <f>G42*E101</f>
        <v>0</v>
      </c>
      <c r="I101" s="186"/>
      <c r="K101" s="390"/>
      <c r="L101" s="390"/>
      <c r="M101" s="436"/>
      <c r="N101" s="64"/>
    </row>
    <row r="102" spans="1:15" s="18" customFormat="1" ht="13.15" hidden="1" customHeight="1" x14ac:dyDescent="0.15">
      <c r="A102" s="373" t="s">
        <v>128</v>
      </c>
      <c r="B102" s="595" t="s">
        <v>198</v>
      </c>
      <c r="C102" s="596"/>
      <c r="D102" s="374" t="s">
        <v>8</v>
      </c>
      <c r="E102" s="375">
        <f>(1 + 0.0833 + 0.0833 + 0.0278) * F102*F$94*0.9*0.5</f>
        <v>0</v>
      </c>
      <c r="F102" s="376">
        <f>IF(D102="Sim",10%,0)</f>
        <v>0</v>
      </c>
      <c r="G102" s="377">
        <f>ROUND($G$45*E102,2)</f>
        <v>0</v>
      </c>
      <c r="H102" s="66"/>
      <c r="I102" s="64"/>
      <c r="K102" s="256"/>
      <c r="L102" s="256"/>
    </row>
    <row r="103" spans="1:15" s="18" customFormat="1" ht="18.75" hidden="1" customHeight="1" x14ac:dyDescent="0.15">
      <c r="A103" s="378" t="s">
        <v>25</v>
      </c>
      <c r="B103" s="598" t="s">
        <v>258</v>
      </c>
      <c r="C103" s="598"/>
      <c r="D103" s="598"/>
      <c r="E103" s="379"/>
      <c r="F103" s="380"/>
      <c r="G103" s="381"/>
      <c r="H103" s="66"/>
      <c r="I103" s="64"/>
      <c r="K103" s="256"/>
      <c r="L103" s="256"/>
    </row>
    <row r="104" spans="1:15" s="84" customFormat="1" ht="18" customHeight="1" x14ac:dyDescent="0.15">
      <c r="A104" s="179"/>
      <c r="B104" s="285" t="s">
        <v>101</v>
      </c>
      <c r="C104" s="285"/>
      <c r="D104" s="285"/>
      <c r="E104" s="285"/>
      <c r="F104" s="159"/>
      <c r="G104" s="160">
        <f>SUM(G93:G102)</f>
        <v>0</v>
      </c>
    </row>
    <row r="105" spans="1:15" s="18" customFormat="1" ht="12.75" customHeight="1" x14ac:dyDescent="0.15">
      <c r="A105" s="25"/>
      <c r="B105" s="58"/>
      <c r="C105" s="26"/>
      <c r="D105" s="26"/>
      <c r="E105" s="26"/>
      <c r="F105" s="26"/>
      <c r="G105" s="27"/>
    </row>
    <row r="106" spans="1:15" s="89" customFormat="1" ht="18" customHeight="1" x14ac:dyDescent="0.2">
      <c r="A106" s="123" t="s">
        <v>129</v>
      </c>
      <c r="B106" s="86"/>
      <c r="C106" s="86"/>
      <c r="D106" s="124"/>
      <c r="E106" s="124"/>
      <c r="F106" s="124"/>
      <c r="G106" s="88"/>
    </row>
    <row r="107" spans="1:15" s="18" customFormat="1" ht="24" customHeight="1" x14ac:dyDescent="0.2">
      <c r="A107" s="28" t="s">
        <v>130</v>
      </c>
      <c r="B107" s="597" t="str">
        <f>"Submódulo - Substituto nas Ausências Legais  - Vinculada? "&amp;PARAMETROS!$C$27</f>
        <v>Submódulo - Substituto nas Ausências Legais  - Vinculada? Sim</v>
      </c>
      <c r="C107" s="517"/>
      <c r="D107" s="517"/>
      <c r="E107" s="182" t="s">
        <v>259</v>
      </c>
      <c r="F107" s="257" t="s">
        <v>265</v>
      </c>
      <c r="G107" s="121" t="s">
        <v>47</v>
      </c>
      <c r="I107" s="314" t="s">
        <v>218</v>
      </c>
    </row>
    <row r="108" spans="1:15" s="18" customFormat="1" ht="28.9" customHeight="1" x14ac:dyDescent="0.15">
      <c r="A108" s="8" t="s">
        <v>13</v>
      </c>
      <c r="B108" s="541" t="s">
        <v>263</v>
      </c>
      <c r="C108" s="542"/>
      <c r="D108" s="542"/>
      <c r="E108" s="424" t="str">
        <f>(IF(RIGHT(B114,3)="Sim",1/11,"Somente na prorrogação"))</f>
        <v>Somente na prorrogação</v>
      </c>
      <c r="F108" s="427" t="str">
        <f>(IF(RIGHT(B114,3)="Sim",1,"Somente na prorrogação"))</f>
        <v>Somente na prorrogação</v>
      </c>
      <c r="G108" s="428" t="str">
        <f>IF(RIGHT(B114,3)="Não","Somente na prorrogação",ROUND(((G42+G88+G104+G136-F78-F136)/F29),2))</f>
        <v>Somente na prorrogação</v>
      </c>
      <c r="H108" s="66"/>
      <c r="I108" s="64"/>
      <c r="K108" s="64"/>
      <c r="M108" s="66"/>
      <c r="N108" s="64"/>
      <c r="O108" s="64"/>
    </row>
    <row r="109" spans="1:15" s="18" customFormat="1" ht="28.9" customHeight="1" x14ac:dyDescent="0.15">
      <c r="A109" s="10" t="s">
        <v>15</v>
      </c>
      <c r="B109" s="496" t="str">
        <f>"Substituto nas Ausências legais ("&amp;(F109)&amp;" faltas/ano)"</f>
        <v>Substituto nas Ausências legais (8 faltas/ano)</v>
      </c>
      <c r="C109" s="497"/>
      <c r="D109" s="497"/>
      <c r="E109" s="425">
        <f>ROUND((F109/30/12),4)</f>
        <v>2.2200000000000001E-2</v>
      </c>
      <c r="F109" s="259">
        <v>8</v>
      </c>
      <c r="G109" s="33">
        <f>(G42+G88+G104)/30/12*F109</f>
        <v>0</v>
      </c>
      <c r="H109" s="66"/>
      <c r="I109" s="64"/>
      <c r="M109" s="66"/>
      <c r="N109" s="66"/>
    </row>
    <row r="110" spans="1:15" s="18" customFormat="1" ht="28.9" customHeight="1" x14ac:dyDescent="0.15">
      <c r="A110" s="10" t="s">
        <v>17</v>
      </c>
      <c r="B110" s="496" t="str">
        <f>"Substituto Licença paternidade (probabilidade de ocorrência = "&amp;(F110*100)&amp;"%/ano)"</f>
        <v>Substituto Licença paternidade (probabilidade de ocorrência = 2%/ano)</v>
      </c>
      <c r="C110" s="497"/>
      <c r="D110" s="497"/>
      <c r="E110" s="425">
        <f>ROUND((5/30/12) * F110,4)</f>
        <v>2.9999999999999997E-4</v>
      </c>
      <c r="F110" s="258">
        <v>0.02</v>
      </c>
      <c r="G110" s="33">
        <f>ROUND(G$45/30*5/12*F110,2)</f>
        <v>0</v>
      </c>
      <c r="N110" s="64"/>
    </row>
    <row r="111" spans="1:15" s="18" customFormat="1" ht="28.9" customHeight="1" x14ac:dyDescent="0.15">
      <c r="A111" s="10" t="s">
        <v>19</v>
      </c>
      <c r="B111" s="496" t="str">
        <f>"Substituto Ausência por acidente de trabalho (probabilidade de ocorrência = "&amp;(F111)&amp;" Faltas/ano)"</f>
        <v>Substituto Ausência por acidente de trabalho (probabilidade de ocorrência = 5 Faltas/ano)</v>
      </c>
      <c r="C111" s="497"/>
      <c r="D111" s="585"/>
      <c r="E111" s="425">
        <f>ROUND((F111/30/12 ),4)</f>
        <v>1.3899999999999999E-2</v>
      </c>
      <c r="F111" s="259">
        <v>5</v>
      </c>
      <c r="G111" s="33">
        <f>((G45)+G88+G104)/30/12*F111</f>
        <v>0</v>
      </c>
      <c r="H111" s="64"/>
      <c r="N111" s="64"/>
    </row>
    <row r="112" spans="1:15" s="18" customFormat="1" ht="28.9" customHeight="1" x14ac:dyDescent="0.15">
      <c r="A112" s="10" t="s">
        <v>21</v>
      </c>
      <c r="B112" s="496" t="str">
        <f>"Substituto Licença maternidade (probabilidade de ocorrência = "&amp;(F112*100)&amp;"% ao ano)"</f>
        <v>Substituto Licença maternidade (probabilidade de ocorrência = 5,28% ao ano)</v>
      </c>
      <c r="C112" s="497"/>
      <c r="D112" s="585"/>
      <c r="E112" s="425">
        <f>((1/12)+(1/3/12)) * F112 * (6/12)</f>
        <v>2.9333333333333334E-3</v>
      </c>
      <c r="F112" s="258">
        <v>5.28E-2</v>
      </c>
      <c r="G112" s="33">
        <f>ROUND(G$45/30*5/12*F112,2)</f>
        <v>0</v>
      </c>
    </row>
    <row r="113" spans="1:14" s="18" customFormat="1" ht="28.9" customHeight="1" x14ac:dyDescent="0.15">
      <c r="A113" s="10" t="s">
        <v>23</v>
      </c>
      <c r="B113" s="586" t="s">
        <v>133</v>
      </c>
      <c r="C113" s="587"/>
      <c r="D113" s="588"/>
      <c r="E113" s="426"/>
      <c r="F113" s="315" t="s">
        <v>0</v>
      </c>
      <c r="G113" s="34"/>
      <c r="H113" s="64"/>
    </row>
    <row r="114" spans="1:14" s="18" customFormat="1" ht="18" customHeight="1" x14ac:dyDescent="0.15">
      <c r="A114" s="318"/>
      <c r="B114" s="423" t="str">
        <f>"Contrato prorrogado? "&amp;F10</f>
        <v>Contrato prorrogado? Não</v>
      </c>
      <c r="C114" s="286"/>
      <c r="D114" s="286"/>
      <c r="E114" s="180" t="s">
        <v>260</v>
      </c>
      <c r="F114" s="47"/>
      <c r="G114" s="11">
        <f>SUM(G108:G113)</f>
        <v>0</v>
      </c>
      <c r="K114" s="255"/>
      <c r="L114" s="255"/>
    </row>
    <row r="115" spans="1:14" s="18" customFormat="1" ht="10.5" x14ac:dyDescent="0.15">
      <c r="A115" s="328"/>
      <c r="B115" s="328"/>
      <c r="C115" s="328"/>
      <c r="D115" s="328"/>
      <c r="E115" s="328"/>
      <c r="F115" s="328"/>
      <c r="G115" s="328"/>
    </row>
    <row r="116" spans="1:14" s="18" customFormat="1" ht="24" customHeight="1" x14ac:dyDescent="0.15">
      <c r="A116" s="29" t="s">
        <v>136</v>
      </c>
      <c r="B116" s="508" t="s">
        <v>137</v>
      </c>
      <c r="C116" s="509"/>
      <c r="D116" s="509"/>
      <c r="E116" s="509"/>
      <c r="F116" s="510"/>
      <c r="G116" s="121" t="s">
        <v>47</v>
      </c>
    </row>
    <row r="117" spans="1:14" s="18" customFormat="1" ht="22.5" customHeight="1" x14ac:dyDescent="0.15">
      <c r="A117" s="8" t="s">
        <v>13</v>
      </c>
      <c r="B117" s="527" t="s">
        <v>138</v>
      </c>
      <c r="C117" s="528"/>
      <c r="D117" s="528"/>
      <c r="E117" s="528"/>
      <c r="F117" s="287" t="s">
        <v>8</v>
      </c>
      <c r="G117" s="32" t="str">
        <f>IF(F117="Sim",ROUND(G$45/$G$30*22*(F118*24),4),"")</f>
        <v/>
      </c>
      <c r="H117" s="66"/>
      <c r="I117" s="64"/>
    </row>
    <row r="118" spans="1:14" s="18" customFormat="1" ht="22.5" customHeight="1" x14ac:dyDescent="0.15">
      <c r="A118" s="177" t="s">
        <v>140</v>
      </c>
      <c r="B118" s="498" t="s">
        <v>141</v>
      </c>
      <c r="C118" s="499"/>
      <c r="D118" s="499"/>
      <c r="E118" s="499"/>
      <c r="F118" s="157">
        <v>4.1666666666666664E-2</v>
      </c>
      <c r="G118" s="34"/>
      <c r="H118" s="64"/>
      <c r="N118" s="115"/>
    </row>
    <row r="119" spans="1:14" s="18" customFormat="1" ht="18" customHeight="1" x14ac:dyDescent="0.15">
      <c r="A119" s="316"/>
      <c r="B119" s="205" t="s">
        <v>101</v>
      </c>
      <c r="C119" s="205"/>
      <c r="D119" s="205"/>
      <c r="E119" s="205"/>
      <c r="F119" s="207"/>
      <c r="G119" s="12">
        <f>SUM(G117:G118)</f>
        <v>0</v>
      </c>
    </row>
    <row r="120" spans="1:14" s="18" customFormat="1" ht="10.5" x14ac:dyDescent="0.15">
      <c r="A120" s="531" t="s">
        <v>142</v>
      </c>
      <c r="B120" s="513"/>
      <c r="C120" s="513"/>
      <c r="D120" s="513"/>
      <c r="E120" s="513"/>
      <c r="F120" s="513"/>
      <c r="G120" s="532"/>
    </row>
    <row r="121" spans="1:14" s="18" customFormat="1" ht="10.5" x14ac:dyDescent="0.15">
      <c r="A121" s="582" t="s">
        <v>219</v>
      </c>
      <c r="B121" s="583"/>
      <c r="C121" s="583"/>
      <c r="D121" s="583"/>
      <c r="E121" s="583"/>
      <c r="F121" s="583"/>
      <c r="G121" s="584"/>
    </row>
    <row r="122" spans="1:14" s="18" customFormat="1" ht="17.25" customHeight="1" x14ac:dyDescent="0.15">
      <c r="A122" s="70"/>
      <c r="B122" s="70"/>
      <c r="C122" s="70"/>
      <c r="D122" s="70"/>
      <c r="E122" s="70"/>
      <c r="F122" s="70"/>
      <c r="G122" s="70"/>
    </row>
    <row r="123" spans="1:14" s="133" customFormat="1" ht="24" customHeight="1" x14ac:dyDescent="0.15">
      <c r="A123" s="135" t="s">
        <v>144</v>
      </c>
      <c r="B123" s="141"/>
      <c r="C123" s="142"/>
      <c r="D123" s="142"/>
      <c r="E123" s="142"/>
      <c r="F123" s="142"/>
      <c r="G123" s="143"/>
    </row>
    <row r="124" spans="1:14" s="134" customFormat="1" ht="24" customHeight="1" x14ac:dyDescent="0.15">
      <c r="A124" s="136">
        <v>4</v>
      </c>
      <c r="B124" s="137" t="s">
        <v>110</v>
      </c>
      <c r="C124" s="138"/>
      <c r="D124" s="138"/>
      <c r="E124" s="138"/>
      <c r="F124" s="138"/>
      <c r="G124" s="139"/>
    </row>
    <row r="125" spans="1:14" s="133" customFormat="1" ht="24" customHeight="1" x14ac:dyDescent="0.15">
      <c r="A125" s="140" t="s">
        <v>130</v>
      </c>
      <c r="B125" s="141" t="s">
        <v>145</v>
      </c>
      <c r="C125" s="142"/>
      <c r="D125" s="142"/>
      <c r="E125" s="142"/>
      <c r="F125" s="143"/>
      <c r="G125" s="149">
        <f>G114</f>
        <v>0</v>
      </c>
    </row>
    <row r="126" spans="1:14" s="133" customFormat="1" ht="24" customHeight="1" x14ac:dyDescent="0.15">
      <c r="A126" s="140" t="s">
        <v>136</v>
      </c>
      <c r="B126" s="141" t="s">
        <v>146</v>
      </c>
      <c r="C126" s="142"/>
      <c r="D126" s="142"/>
      <c r="E126" s="142"/>
      <c r="F126" s="143"/>
      <c r="G126" s="149">
        <f>G119</f>
        <v>0</v>
      </c>
    </row>
    <row r="127" spans="1:14" s="133" customFormat="1" ht="24" customHeight="1" x14ac:dyDescent="0.15">
      <c r="A127" s="140"/>
      <c r="B127" s="141"/>
      <c r="C127" s="142"/>
      <c r="D127" s="142"/>
      <c r="E127" s="142"/>
      <c r="F127" s="143"/>
      <c r="G127" s="149"/>
    </row>
    <row r="128" spans="1:14" s="133" customFormat="1" ht="18" customHeight="1" x14ac:dyDescent="0.15">
      <c r="A128" s="147"/>
      <c r="B128" s="144" t="s">
        <v>114</v>
      </c>
      <c r="C128" s="144"/>
      <c r="D128" s="148" t="s">
        <v>101</v>
      </c>
      <c r="E128" s="144"/>
      <c r="F128" s="145"/>
      <c r="G128" s="146">
        <f>SUM(G125:G127)</f>
        <v>0</v>
      </c>
    </row>
    <row r="129" spans="1:9" s="18" customFormat="1" ht="18" customHeight="1" x14ac:dyDescent="0.15">
      <c r="A129" s="25"/>
      <c r="B129" s="58"/>
      <c r="C129" s="26"/>
      <c r="D129" s="26"/>
      <c r="E129" s="26"/>
      <c r="F129" s="26"/>
      <c r="G129" s="27"/>
    </row>
    <row r="130" spans="1:9" s="129" customFormat="1" ht="18" customHeight="1" x14ac:dyDescent="0.2">
      <c r="A130" s="123" t="s">
        <v>45</v>
      </c>
      <c r="B130" s="126"/>
      <c r="C130" s="126"/>
      <c r="D130" s="127"/>
      <c r="E130" s="127"/>
      <c r="F130" s="127"/>
      <c r="G130" s="128"/>
    </row>
    <row r="131" spans="1:9" s="130" customFormat="1" ht="18" customHeight="1" x14ac:dyDescent="0.2">
      <c r="A131" s="6">
        <v>5</v>
      </c>
      <c r="B131" s="62" t="s">
        <v>46</v>
      </c>
      <c r="C131" s="285"/>
      <c r="D131" s="285"/>
      <c r="E131" s="285"/>
      <c r="F131" s="429" t="s">
        <v>261</v>
      </c>
      <c r="G131" s="60" t="s">
        <v>47</v>
      </c>
    </row>
    <row r="132" spans="1:9" s="130" customFormat="1" ht="18" customHeight="1" x14ac:dyDescent="0.2">
      <c r="A132" s="8" t="s">
        <v>13</v>
      </c>
      <c r="B132" s="448" t="s">
        <v>48</v>
      </c>
      <c r="C132" s="449"/>
      <c r="D132" s="449"/>
      <c r="E132" s="449"/>
      <c r="F132" s="430"/>
      <c r="G132" s="161">
        <f>PARAMETROS!C59</f>
        <v>0</v>
      </c>
      <c r="I132" s="131"/>
    </row>
    <row r="133" spans="1:9" s="130" customFormat="1" ht="18" customHeight="1" x14ac:dyDescent="0.2">
      <c r="A133" s="10" t="s">
        <v>15</v>
      </c>
      <c r="B133" s="446" t="s">
        <v>49</v>
      </c>
      <c r="C133" s="447"/>
      <c r="D133" s="447"/>
      <c r="E133" s="447"/>
      <c r="F133" s="431" t="s">
        <v>139</v>
      </c>
      <c r="G133" s="161">
        <f>PARAMETROS!C60</f>
        <v>0</v>
      </c>
    </row>
    <row r="134" spans="1:9" s="130" customFormat="1" ht="18" customHeight="1" x14ac:dyDescent="0.2">
      <c r="A134" s="10" t="s">
        <v>17</v>
      </c>
      <c r="B134" s="446" t="s">
        <v>50</v>
      </c>
      <c r="C134" s="447"/>
      <c r="D134" s="447"/>
      <c r="E134" s="447"/>
      <c r="F134" s="431" t="s">
        <v>139</v>
      </c>
      <c r="G134" s="161">
        <f>PARAMETROS!C61</f>
        <v>0</v>
      </c>
    </row>
    <row r="135" spans="1:9" s="130" customFormat="1" ht="18" customHeight="1" x14ac:dyDescent="0.2">
      <c r="A135" s="177" t="s">
        <v>25</v>
      </c>
      <c r="B135" s="273" t="s">
        <v>51</v>
      </c>
      <c r="C135" s="274"/>
      <c r="D135" s="274"/>
      <c r="E135" s="274"/>
      <c r="F135" s="432"/>
      <c r="G135" s="161">
        <f>PARAMETROS!C62</f>
        <v>0</v>
      </c>
    </row>
    <row r="136" spans="1:9" s="130" customFormat="1" ht="18" customHeight="1" x14ac:dyDescent="0.2">
      <c r="A136" s="13"/>
      <c r="B136" s="180" t="s">
        <v>29</v>
      </c>
      <c r="C136" s="52"/>
      <c r="D136" s="52"/>
      <c r="E136" s="52"/>
      <c r="F136" s="433">
        <f>SUMIF(F132:F135,"Sim",G132:G135)</f>
        <v>0</v>
      </c>
      <c r="G136" s="14">
        <f>SUM(G132:G135)</f>
        <v>0</v>
      </c>
    </row>
    <row r="137" spans="1:9" s="76" customFormat="1" ht="15.75" customHeight="1" x14ac:dyDescent="0.15">
      <c r="A137" s="77"/>
      <c r="B137" s="78"/>
      <c r="C137" s="77"/>
      <c r="D137" s="77"/>
      <c r="E137" s="77"/>
      <c r="F137" s="77"/>
      <c r="G137" s="77"/>
    </row>
    <row r="138" spans="1:9" s="89" customFormat="1" ht="18" customHeight="1" x14ac:dyDescent="0.2">
      <c r="A138" s="85" t="s">
        <v>149</v>
      </c>
      <c r="B138" s="86"/>
      <c r="C138" s="86"/>
      <c r="D138" s="87"/>
      <c r="E138" s="87"/>
      <c r="F138" s="87"/>
      <c r="G138" s="88"/>
    </row>
    <row r="139" spans="1:9" s="18" customFormat="1" ht="18" customHeight="1" x14ac:dyDescent="0.15">
      <c r="A139" s="28">
        <v>6</v>
      </c>
      <c r="B139" s="61" t="s">
        <v>150</v>
      </c>
      <c r="C139" s="445"/>
      <c r="D139" s="445"/>
      <c r="E139" s="445"/>
      <c r="F139" s="54" t="s">
        <v>12</v>
      </c>
      <c r="G139" s="60" t="s">
        <v>47</v>
      </c>
    </row>
    <row r="140" spans="1:9" s="18" customFormat="1" ht="19.5" customHeight="1" x14ac:dyDescent="0.15">
      <c r="A140" s="8" t="s">
        <v>13</v>
      </c>
      <c r="B140" s="489" t="s">
        <v>151</v>
      </c>
      <c r="C140" s="490"/>
      <c r="D140" s="490"/>
      <c r="E140" s="490"/>
      <c r="F140" s="72">
        <v>0.1</v>
      </c>
      <c r="G140" s="91">
        <f>ROUND(($G$45+$G$88+$G$104+$G$128+$G$136)*F140,2)</f>
        <v>0</v>
      </c>
      <c r="H140" s="64"/>
    </row>
    <row r="141" spans="1:9" s="18" customFormat="1" ht="19.5" customHeight="1" x14ac:dyDescent="0.15">
      <c r="A141" s="179" t="s">
        <v>15</v>
      </c>
      <c r="B141" s="489" t="s">
        <v>264</v>
      </c>
      <c r="C141" s="490"/>
      <c r="D141" s="490"/>
      <c r="E141" s="490"/>
      <c r="F141" s="92">
        <v>0.1</v>
      </c>
      <c r="G141" s="91">
        <f>ROUND(($G$45+$G$88+$G$104+$G$128+$G$136+$G$140)*F141,2)</f>
        <v>0</v>
      </c>
    </row>
    <row r="142" spans="1:9" s="18" customFormat="1" ht="18" customHeight="1" x14ac:dyDescent="0.15">
      <c r="A142" s="179" t="s">
        <v>17</v>
      </c>
      <c r="B142" s="63" t="s">
        <v>153</v>
      </c>
      <c r="C142" s="93"/>
      <c r="D142" s="93"/>
      <c r="E142" s="93"/>
      <c r="F142" s="35">
        <f>SUM(F144:F149)</f>
        <v>8.6499999999999994E-2</v>
      </c>
      <c r="G142" s="36"/>
    </row>
    <row r="143" spans="1:9" s="18" customFormat="1" ht="18" customHeight="1" x14ac:dyDescent="0.15">
      <c r="A143" s="179"/>
      <c r="B143" s="63" t="s">
        <v>154</v>
      </c>
      <c r="C143" s="93"/>
      <c r="D143" s="93"/>
      <c r="E143" s="93"/>
      <c r="F143" s="35"/>
      <c r="G143" s="31"/>
    </row>
    <row r="144" spans="1:9" s="18" customFormat="1" ht="18" customHeight="1" x14ac:dyDescent="0.15">
      <c r="A144" s="10"/>
      <c r="B144" s="162" t="s">
        <v>155</v>
      </c>
      <c r="C144" s="163"/>
      <c r="D144" s="163"/>
      <c r="E144" s="163"/>
      <c r="F144" s="164">
        <v>6.4999999999999997E-3</v>
      </c>
      <c r="G144" s="165">
        <f>ROUND($G$153*F144,2)</f>
        <v>0</v>
      </c>
    </row>
    <row r="145" spans="1:15" s="18" customFormat="1" ht="18" customHeight="1" x14ac:dyDescent="0.15">
      <c r="A145" s="10"/>
      <c r="B145" s="162" t="s">
        <v>156</v>
      </c>
      <c r="C145" s="163"/>
      <c r="D145" s="163"/>
      <c r="E145" s="163"/>
      <c r="F145" s="164">
        <v>0.03</v>
      </c>
      <c r="G145" s="165">
        <f>ROUND($G$153*F145,2)</f>
        <v>0</v>
      </c>
    </row>
    <row r="146" spans="1:15" s="18" customFormat="1" ht="18" customHeight="1" x14ac:dyDescent="0.15">
      <c r="A146" s="179"/>
      <c r="B146" s="63" t="s">
        <v>157</v>
      </c>
      <c r="C146" s="93"/>
      <c r="D146" s="93"/>
      <c r="E146" s="93"/>
      <c r="F146" s="92"/>
      <c r="G146" s="160"/>
    </row>
    <row r="147" spans="1:15" s="18" customFormat="1" ht="18" customHeight="1" x14ac:dyDescent="0.15">
      <c r="A147" s="179"/>
      <c r="B147" s="63" t="s">
        <v>158</v>
      </c>
      <c r="C147" s="93"/>
      <c r="D147" s="93"/>
      <c r="E147" s="93"/>
      <c r="F147" s="35"/>
      <c r="G147" s="160"/>
    </row>
    <row r="148" spans="1:15" s="18" customFormat="1" ht="18" customHeight="1" x14ac:dyDescent="0.15">
      <c r="A148" s="8"/>
      <c r="B148" s="166" t="s">
        <v>159</v>
      </c>
      <c r="C148" s="168"/>
      <c r="D148" s="168"/>
      <c r="E148" s="168"/>
      <c r="F148" s="167">
        <v>0.05</v>
      </c>
      <c r="G148" s="165">
        <f>ROUND($G$153*F148,2)</f>
        <v>0</v>
      </c>
    </row>
    <row r="149" spans="1:15" s="18" customFormat="1" ht="18" customHeight="1" x14ac:dyDescent="0.15">
      <c r="A149" s="179"/>
      <c r="B149" s="63" t="s">
        <v>160</v>
      </c>
      <c r="C149" s="93"/>
      <c r="D149" s="93"/>
      <c r="E149" s="93"/>
      <c r="F149" s="35"/>
      <c r="G149" s="14"/>
    </row>
    <row r="150" spans="1:15" s="18" customFormat="1" ht="18" customHeight="1" x14ac:dyDescent="0.15">
      <c r="A150" s="179"/>
      <c r="B150" s="285" t="s">
        <v>101</v>
      </c>
      <c r="C150" s="285"/>
      <c r="D150" s="285"/>
      <c r="E150" s="285"/>
      <c r="F150" s="35"/>
      <c r="G150" s="31">
        <f>SUM(G140:G149)</f>
        <v>0</v>
      </c>
      <c r="N150" s="64"/>
      <c r="O150" s="64"/>
    </row>
    <row r="151" spans="1:15" s="7" customFormat="1" ht="18" customHeight="1" x14ac:dyDescent="0.2">
      <c r="A151" s="38" t="str">
        <f>"a) F = Tributos (%) /100"&amp;" = "&amp;(F142*100)&amp;"% / 100 = "&amp;ROUND((F142*100)/100,4)</f>
        <v>a) F = Tributos (%) /100 = 8,65% / 100 = 0,0865</v>
      </c>
      <c r="B151" s="39"/>
      <c r="C151" s="39"/>
      <c r="D151" s="39"/>
      <c r="E151" s="39"/>
      <c r="F151" s="39"/>
      <c r="G151" s="40"/>
      <c r="H151" s="49"/>
      <c r="I151" s="50"/>
    </row>
    <row r="152" spans="1:15" s="7" customFormat="1" ht="18" customHeight="1" x14ac:dyDescent="0.2">
      <c r="A152" s="42" t="s">
        <v>161</v>
      </c>
      <c r="B152" s="41"/>
      <c r="C152" s="41"/>
      <c r="D152" s="41"/>
      <c r="E152" s="41"/>
      <c r="F152" s="41"/>
      <c r="G152" s="37">
        <f>ROUND(($G$45+$G$88+$G$104+$G$128+$G$136+$G$140+$G$141),2)</f>
        <v>0</v>
      </c>
      <c r="H152" s="46"/>
      <c r="I152" s="50"/>
      <c r="N152" s="68"/>
      <c r="O152" s="68"/>
    </row>
    <row r="153" spans="1:15" s="7" customFormat="1" ht="18" customHeight="1" x14ac:dyDescent="0.2">
      <c r="A153" s="42" t="str">
        <f>"c) PF= P / (1 - F) = P  / (1 - "&amp;F142&amp;") =  P / "&amp;(1-F142)&amp;" = "</f>
        <v xml:space="preserve">c) PF= P / (1 - F) = P  / (1 - 0,0865) =  P / 0,9135 = </v>
      </c>
      <c r="B153" s="41"/>
      <c r="C153" s="41"/>
      <c r="D153" s="41"/>
      <c r="E153" s="41"/>
      <c r="F153" s="41"/>
      <c r="G153" s="37">
        <f>ROUND(G152/ (1-$F142),2)</f>
        <v>0</v>
      </c>
      <c r="H153" s="46"/>
      <c r="I153" s="50"/>
      <c r="O153" s="68"/>
    </row>
    <row r="154" spans="1:15" s="7" customFormat="1" ht="18" customHeight="1" x14ac:dyDescent="0.2">
      <c r="A154" s="43" t="str">
        <f>"VALOR DOS TRIBUTOS = PF - P =  "</f>
        <v xml:space="preserve">VALOR DOS TRIBUTOS = PF - P =  </v>
      </c>
      <c r="B154" s="44"/>
      <c r="C154" s="44"/>
      <c r="D154" s="44"/>
      <c r="E154" s="44"/>
      <c r="F154" s="45"/>
      <c r="G154" s="48">
        <f>G153-G152</f>
        <v>0</v>
      </c>
      <c r="H154" s="46"/>
      <c r="I154" s="50"/>
    </row>
    <row r="155" spans="1:15" s="7" customFormat="1" ht="10.5" x14ac:dyDescent="0.2">
      <c r="A155" s="329" t="s">
        <v>162</v>
      </c>
      <c r="B155" s="330" t="s">
        <v>163</v>
      </c>
      <c r="C155" s="331"/>
      <c r="D155" s="331"/>
      <c r="E155" s="331"/>
      <c r="F155" s="39"/>
      <c r="G155" s="332"/>
      <c r="H155" s="46"/>
      <c r="I155" s="50"/>
    </row>
    <row r="156" spans="1:15" s="7" customFormat="1" ht="10.5" x14ac:dyDescent="0.2">
      <c r="A156" s="333"/>
      <c r="B156" s="79" t="s">
        <v>164</v>
      </c>
      <c r="C156" s="95"/>
      <c r="D156" s="95"/>
      <c r="E156" s="95"/>
      <c r="F156" s="41"/>
      <c r="G156" s="334"/>
      <c r="H156" s="46"/>
      <c r="I156" s="50"/>
    </row>
    <row r="157" spans="1:15" s="7" customFormat="1" ht="10.5" x14ac:dyDescent="0.2">
      <c r="A157" s="333"/>
      <c r="B157" s="79" t="s">
        <v>165</v>
      </c>
      <c r="C157" s="95"/>
      <c r="D157" s="95"/>
      <c r="E157" s="95"/>
      <c r="F157" s="41"/>
      <c r="G157" s="334"/>
      <c r="H157" s="46"/>
      <c r="I157" s="50"/>
    </row>
    <row r="158" spans="1:15" s="7" customFormat="1" ht="10.5" x14ac:dyDescent="0.2">
      <c r="A158" s="43"/>
      <c r="B158" s="440"/>
      <c r="C158" s="44"/>
      <c r="D158" s="44"/>
      <c r="E158" s="44"/>
      <c r="F158" s="45"/>
      <c r="G158" s="48"/>
      <c r="H158" s="46"/>
      <c r="I158" s="50"/>
    </row>
    <row r="159" spans="1:15" ht="18" customHeight="1" x14ac:dyDescent="0.15">
      <c r="H159" s="51"/>
      <c r="I159" s="51"/>
    </row>
    <row r="160" spans="1:15" s="89" customFormat="1" ht="18" customHeight="1" x14ac:dyDescent="0.2">
      <c r="A160" s="90" t="s">
        <v>166</v>
      </c>
      <c r="B160" s="86"/>
      <c r="C160" s="86"/>
      <c r="D160" s="87"/>
      <c r="E160" s="87"/>
      <c r="F160" s="87"/>
      <c r="G160" s="88"/>
    </row>
    <row r="161" spans="1:9" s="18" customFormat="1" ht="21.75" customHeight="1" x14ac:dyDescent="0.15">
      <c r="A161" s="97"/>
      <c r="B161" s="491" t="s">
        <v>167</v>
      </c>
      <c r="C161" s="491"/>
      <c r="D161" s="491"/>
      <c r="E161" s="491"/>
      <c r="F161" s="492"/>
      <c r="G161" s="98" t="s">
        <v>47</v>
      </c>
      <c r="H161" s="25"/>
      <c r="I161" s="25"/>
    </row>
    <row r="162" spans="1:9" s="18" customFormat="1" ht="21.75" customHeight="1" x14ac:dyDescent="0.15">
      <c r="A162" s="100" t="s">
        <v>13</v>
      </c>
      <c r="B162" s="101" t="s">
        <v>168</v>
      </c>
      <c r="C162" s="102"/>
      <c r="D162" s="102"/>
      <c r="E162" s="102"/>
      <c r="F162" s="103"/>
      <c r="G162" s="169">
        <f>$G$45</f>
        <v>0</v>
      </c>
    </row>
    <row r="163" spans="1:9" s="18" customFormat="1" ht="21.75" customHeight="1" x14ac:dyDescent="0.15">
      <c r="A163" s="104" t="s">
        <v>15</v>
      </c>
      <c r="B163" s="105" t="s">
        <v>169</v>
      </c>
      <c r="C163" s="106"/>
      <c r="D163" s="106"/>
      <c r="E163" s="106"/>
      <c r="F163" s="69"/>
      <c r="G163" s="170">
        <f>$G$88</f>
        <v>0</v>
      </c>
    </row>
    <row r="164" spans="1:9" s="18" customFormat="1" ht="21.75" customHeight="1" x14ac:dyDescent="0.15">
      <c r="A164" s="104" t="s">
        <v>17</v>
      </c>
      <c r="B164" s="105" t="s">
        <v>170</v>
      </c>
      <c r="C164" s="106"/>
      <c r="D164" s="106"/>
      <c r="E164" s="106"/>
      <c r="F164" s="69"/>
      <c r="G164" s="170">
        <f>$G$104</f>
        <v>0</v>
      </c>
    </row>
    <row r="165" spans="1:9" s="18" customFormat="1" ht="21.75" customHeight="1" x14ac:dyDescent="0.15">
      <c r="A165" s="104" t="s">
        <v>19</v>
      </c>
      <c r="B165" s="105" t="s">
        <v>171</v>
      </c>
      <c r="C165" s="106"/>
      <c r="D165" s="106"/>
      <c r="E165" s="106"/>
      <c r="F165" s="69"/>
      <c r="G165" s="170">
        <f>$G$128</f>
        <v>0</v>
      </c>
    </row>
    <row r="166" spans="1:9" s="18" customFormat="1" ht="21.75" customHeight="1" x14ac:dyDescent="0.15">
      <c r="A166" s="104" t="s">
        <v>21</v>
      </c>
      <c r="B166" s="105" t="s">
        <v>172</v>
      </c>
      <c r="C166" s="106"/>
      <c r="D166" s="106"/>
      <c r="E166" s="106"/>
      <c r="F166" s="69"/>
      <c r="G166" s="170">
        <f>$G$136</f>
        <v>0</v>
      </c>
    </row>
    <row r="167" spans="1:9" s="18" customFormat="1" ht="21.75" customHeight="1" x14ac:dyDescent="0.15">
      <c r="A167" s="104"/>
      <c r="B167" s="107" t="s">
        <v>173</v>
      </c>
      <c r="C167" s="106"/>
      <c r="D167" s="106"/>
      <c r="E167" s="106"/>
      <c r="F167" s="69"/>
      <c r="G167" s="171">
        <f>SUM(G162:G166)</f>
        <v>0</v>
      </c>
    </row>
    <row r="168" spans="1:9" s="18" customFormat="1" ht="21.75" customHeight="1" x14ac:dyDescent="0.15">
      <c r="A168" s="109" t="s">
        <v>23</v>
      </c>
      <c r="B168" s="110" t="s">
        <v>174</v>
      </c>
      <c r="C168" s="111"/>
      <c r="D168" s="111"/>
      <c r="E168" s="111"/>
      <c r="F168" s="112"/>
      <c r="G168" s="172">
        <f>$G$150</f>
        <v>0</v>
      </c>
    </row>
    <row r="169" spans="1:9" s="18" customFormat="1" ht="21.75" customHeight="1" x14ac:dyDescent="0.15">
      <c r="A169" s="113"/>
      <c r="B169" s="99" t="s">
        <v>175</v>
      </c>
      <c r="C169" s="99"/>
      <c r="D169" s="99"/>
      <c r="E169" s="99"/>
      <c r="F169" s="114"/>
      <c r="G169" s="173">
        <f>SUM(G167:G168)</f>
        <v>0</v>
      </c>
      <c r="H169" s="64"/>
      <c r="I169" s="64"/>
    </row>
  </sheetData>
  <mergeCells count="74">
    <mergeCell ref="B11:E11"/>
    <mergeCell ref="A2:G2"/>
    <mergeCell ref="A3:G3"/>
    <mergeCell ref="A5:G5"/>
    <mergeCell ref="A6:G6"/>
    <mergeCell ref="B10:E10"/>
    <mergeCell ref="B25:F25"/>
    <mergeCell ref="A14:B14"/>
    <mergeCell ref="E14:F14"/>
    <mergeCell ref="A15:B15"/>
    <mergeCell ref="E15:F15"/>
    <mergeCell ref="A16:B16"/>
    <mergeCell ref="E16:F16"/>
    <mergeCell ref="A17:B17"/>
    <mergeCell ref="E17:F17"/>
    <mergeCell ref="A22:F22"/>
    <mergeCell ref="B23:F23"/>
    <mergeCell ref="B24:F24"/>
    <mergeCell ref="B42:E42"/>
    <mergeCell ref="B26:F26"/>
    <mergeCell ref="B27:F27"/>
    <mergeCell ref="A28:A29"/>
    <mergeCell ref="B28:C28"/>
    <mergeCell ref="D28:E28"/>
    <mergeCell ref="B29:C29"/>
    <mergeCell ref="D29:E29"/>
    <mergeCell ref="B30:C30"/>
    <mergeCell ref="E30:F30"/>
    <mergeCell ref="A34:G34"/>
    <mergeCell ref="B36:E36"/>
    <mergeCell ref="B41:D41"/>
    <mergeCell ref="A79:G79"/>
    <mergeCell ref="B43:E43"/>
    <mergeCell ref="A46:G46"/>
    <mergeCell ref="A49:G49"/>
    <mergeCell ref="B50:C50"/>
    <mergeCell ref="D50:E50"/>
    <mergeCell ref="B52:C52"/>
    <mergeCell ref="B57:E57"/>
    <mergeCell ref="C58:D58"/>
    <mergeCell ref="B68:E68"/>
    <mergeCell ref="B69:E69"/>
    <mergeCell ref="B71:E71"/>
    <mergeCell ref="B99:D99"/>
    <mergeCell ref="A80:G80"/>
    <mergeCell ref="A81:G81"/>
    <mergeCell ref="A90:G90"/>
    <mergeCell ref="B91:D91"/>
    <mergeCell ref="A92:E92"/>
    <mergeCell ref="B93:D93"/>
    <mergeCell ref="B94:D94"/>
    <mergeCell ref="B95:D95"/>
    <mergeCell ref="B96:D96"/>
    <mergeCell ref="B97:C97"/>
    <mergeCell ref="B98:D98"/>
    <mergeCell ref="B116:F116"/>
    <mergeCell ref="B100:D100"/>
    <mergeCell ref="B101:D101"/>
    <mergeCell ref="B102:C102"/>
    <mergeCell ref="B103:D103"/>
    <mergeCell ref="B107:D107"/>
    <mergeCell ref="B108:D108"/>
    <mergeCell ref="B109:D109"/>
    <mergeCell ref="B110:D110"/>
    <mergeCell ref="B111:D111"/>
    <mergeCell ref="B112:D112"/>
    <mergeCell ref="B113:D113"/>
    <mergeCell ref="B161:F161"/>
    <mergeCell ref="B117:E117"/>
    <mergeCell ref="B118:E118"/>
    <mergeCell ref="A120:G120"/>
    <mergeCell ref="A121:G121"/>
    <mergeCell ref="B140:E140"/>
    <mergeCell ref="B141:E141"/>
  </mergeCells>
  <dataValidations count="3">
    <dataValidation type="list" allowBlank="1" showInputMessage="1" showErrorMessage="1" errorTitle="VALORES INCORRETOS" error="Responder &quot;Sim&quot; ou &quot;Não&quot;" sqref="F43">
      <formula1>"Sim,Não"</formula1>
    </dataValidation>
    <dataValidation type="list" allowBlank="1" showInputMessage="1" showErrorMessage="1" sqref="F11">
      <formula1>"Normal,12X36"</formula1>
    </dataValidation>
    <dataValidation type="list" allowBlank="1" showInputMessage="1" showErrorMessage="1" sqref="F117 D97 D102 F10 F69:F77 F37 C39 F132:F135">
      <formula1>"Sim,Não"</formula1>
    </dataValidation>
  </dataValidations>
  <hyperlinks>
    <hyperlink ref="I107" r:id="rId1"/>
  </hyperlinks>
  <printOptions horizontalCentered="1"/>
  <pageMargins left="1.1811023622047245" right="0.39370078740157483" top="0.39370078740157483" bottom="0.39370078740157483" header="0.11811023622047245" footer="0.11811023622047245"/>
  <pageSetup paperSize="9" scale="82" fitToHeight="4" orientation="portrait" r:id="rId2"/>
  <headerFooter alignWithMargins="0">
    <oddFooter>&amp;LPág. &amp;P</oddFooter>
  </headerFooter>
  <rowBreaks count="4" manualBreakCount="4">
    <brk id="49" max="6" man="1"/>
    <brk id="89" max="6" man="1"/>
    <brk id="104" max="6" man="1"/>
    <brk id="137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16</vt:i4>
      </vt:variant>
    </vt:vector>
  </HeadingPairs>
  <TitlesOfParts>
    <vt:vector size="26" baseType="lpstr">
      <vt:lpstr>VIGILANTE DIURNO - ADPTADO</vt:lpstr>
      <vt:lpstr>QUADRO RESUMO</vt:lpstr>
      <vt:lpstr>PARAMETROS</vt:lpstr>
      <vt:lpstr>ANAL. TÉCNICO</vt:lpstr>
      <vt:lpstr>ANAL. JUNIOR</vt:lpstr>
      <vt:lpstr>ANAL. SENIOR</vt:lpstr>
      <vt:lpstr>TÉC. INFORM.</vt:lpstr>
      <vt:lpstr>GESTOR</vt:lpstr>
      <vt:lpstr>DESENVOLVEDOR</vt:lpstr>
      <vt:lpstr>Exemplo Jornada mista</vt:lpstr>
      <vt:lpstr>'ANAL. JUNIOR'!Area_de_impressao</vt:lpstr>
      <vt:lpstr>'ANAL. SENIOR'!Area_de_impressao</vt:lpstr>
      <vt:lpstr>'ANAL. TÉCNICO'!Area_de_impressao</vt:lpstr>
      <vt:lpstr>DESENVOLVEDOR!Area_de_impressao</vt:lpstr>
      <vt:lpstr>GESTOR!Area_de_impressao</vt:lpstr>
      <vt:lpstr>PARAMETROS!Area_de_impressao</vt:lpstr>
      <vt:lpstr>'TÉC. INFORM.'!Area_de_impressao</vt:lpstr>
      <vt:lpstr>'VIGILANTE DIURNO - ADPTADO'!Area_de_impressao</vt:lpstr>
      <vt:lpstr>'ANAL. JUNIOR'!Titulos_de_impressao</vt:lpstr>
      <vt:lpstr>'ANAL. SENIOR'!Titulos_de_impressao</vt:lpstr>
      <vt:lpstr>'ANAL. TÉCNICO'!Titulos_de_impressao</vt:lpstr>
      <vt:lpstr>DESENVOLVEDOR!Titulos_de_impressao</vt:lpstr>
      <vt:lpstr>GESTOR!Titulos_de_impressao</vt:lpstr>
      <vt:lpstr>PARAMETROS!Titulos_de_impressao</vt:lpstr>
      <vt:lpstr>'TÉC. INFORM.'!Titulos_de_impressao</vt:lpstr>
      <vt:lpstr>'VIGILANTE DIURNO - ADPTADO'!Titulos_de_impressao</vt:lpstr>
    </vt:vector>
  </TitlesOfParts>
  <Company>Fricon - Frigorífico Industrial de Contagem S/A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FRICON010</dc:creator>
  <cp:lastModifiedBy>Djailson Firmino de Moura</cp:lastModifiedBy>
  <cp:revision/>
  <cp:lastPrinted>2020-03-21T01:47:27Z</cp:lastPrinted>
  <dcterms:created xsi:type="dcterms:W3CDTF">2000-11-29T18:40:26Z</dcterms:created>
  <dcterms:modified xsi:type="dcterms:W3CDTF">2022-01-31T12:57:05Z</dcterms:modified>
</cp:coreProperties>
</file>